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700" tabRatio="661" activeTab="0"/>
  </bookViews>
  <sheets>
    <sheet name="Plan0" sheetId="1" r:id="rId1"/>
    <sheet name="Plan1" sheetId="2" r:id="rId2"/>
    <sheet name="Plan2" sheetId="3" r:id="rId3"/>
    <sheet name="Plan3" sheetId="4" r:id="rId4"/>
    <sheet name="Plan4" sheetId="5" r:id="rId5"/>
    <sheet name="Plan5" sheetId="6" r:id="rId6"/>
    <sheet name="Plan6" sheetId="7" r:id="rId7"/>
    <sheet name="Month S_U" sheetId="8" r:id="rId8"/>
  </sheets>
  <definedNames>
    <definedName name="_xlnm.Print_Titles" localSheetId="7">'Month S_U'!$A:$A,'Month S_U'!$1:$2</definedName>
    <definedName name="_xlnm.Print_Titles" localSheetId="0">'Plan0'!$11:$11</definedName>
    <definedName name="_xlnm.Print_Titles" localSheetId="1">'Plan1'!$11:$11</definedName>
    <definedName name="_xlnm.Print_Titles" localSheetId="2">'Plan2'!$11:$11</definedName>
    <definedName name="_xlnm.Print_Titles" localSheetId="3">'Plan3'!$11:$11</definedName>
    <definedName name="_xlnm.Print_Titles" localSheetId="4">'Plan4'!$11:$11</definedName>
    <definedName name="_xlnm.Print_Titles" localSheetId="5">'Plan5'!$11:$11</definedName>
    <definedName name="_xlnm.Print_Titles" localSheetId="6">'Plan6'!$11:$11</definedName>
  </definedNames>
  <calcPr fullCalcOnLoad="1"/>
</workbook>
</file>

<file path=xl/sharedStrings.xml><?xml version="1.0" encoding="utf-8"?>
<sst xmlns="http://schemas.openxmlformats.org/spreadsheetml/2006/main" count="1841" uniqueCount="171">
  <si>
    <t xml:space="preserve"> </t>
  </si>
  <si>
    <t>فروض</t>
  </si>
  <si>
    <t>نرخ تورم</t>
  </si>
  <si>
    <t>كل</t>
  </si>
  <si>
    <t>كل هزينه</t>
  </si>
  <si>
    <t>هزينه‌هاي ثابت و متغير</t>
  </si>
  <si>
    <t>دورة بازگشت سرمايه به سال</t>
  </si>
  <si>
    <t>بازدهي انباشتة سرمايه</t>
  </si>
  <si>
    <t>ضرائب بهره</t>
  </si>
  <si>
    <t>ارزش فعلي</t>
  </si>
  <si>
    <t>نرخ بازدهي داخلي</t>
  </si>
  <si>
    <t>جريان وجوه نقد</t>
  </si>
  <si>
    <t>جريان نقدي ورودي</t>
  </si>
  <si>
    <t>جريان نقدي خروجي</t>
  </si>
  <si>
    <t xml:space="preserve">     مالي     </t>
  </si>
  <si>
    <t xml:space="preserve">     بيمه     </t>
  </si>
  <si>
    <t xml:space="preserve">   ارزش اسقاط</t>
  </si>
  <si>
    <t xml:space="preserve">   موجودي نقدي اول دوره</t>
  </si>
  <si>
    <t>سهم اجزاهزينة</t>
  </si>
  <si>
    <t>سود (زيان) خالص</t>
  </si>
  <si>
    <t>سود (زيان) ناخالص</t>
  </si>
  <si>
    <t>جريان خالص نقدي كل</t>
  </si>
  <si>
    <t xml:space="preserve">     سود سهام پيشنهادي</t>
  </si>
  <si>
    <t>فروش خالص</t>
  </si>
  <si>
    <t>صورت سود وزيان</t>
  </si>
  <si>
    <t xml:space="preserve">     هزينه‌هاي مالي(-)</t>
  </si>
  <si>
    <t>سود (زيان) عملياتي</t>
  </si>
  <si>
    <t>جمع</t>
  </si>
  <si>
    <t>بازپرداخت تسهيلات مالي دريافتي</t>
  </si>
  <si>
    <t xml:space="preserve">   تسهيلات دريافتي</t>
  </si>
  <si>
    <t>مانده تسهيلات مالي دريافتي</t>
  </si>
  <si>
    <t>مانده تسهيلات مالي دريافتي از سال قبل</t>
  </si>
  <si>
    <t>تسهيلات مالي دريافتي جديد</t>
  </si>
  <si>
    <t>فروردين</t>
  </si>
  <si>
    <t>ارديبهشت</t>
  </si>
  <si>
    <t>خرداد</t>
  </si>
  <si>
    <t>تير</t>
  </si>
  <si>
    <t>مرداد</t>
  </si>
  <si>
    <t>شهريور</t>
  </si>
  <si>
    <t>مهر</t>
  </si>
  <si>
    <t>آبان</t>
  </si>
  <si>
    <t>آذر</t>
  </si>
  <si>
    <t>دي</t>
  </si>
  <si>
    <t>بهمن</t>
  </si>
  <si>
    <t>اسفند</t>
  </si>
  <si>
    <t>جمعبندي سال 1383</t>
  </si>
  <si>
    <t>جريان وجوه نقد (درصدها)</t>
  </si>
  <si>
    <t xml:space="preserve">     بهاي تمام شده كالاي توليد شده (-)</t>
  </si>
  <si>
    <t xml:space="preserve">     زمين</t>
  </si>
  <si>
    <t xml:space="preserve">     ساختمان</t>
  </si>
  <si>
    <t>كل هزينه سرمايه گذاري</t>
  </si>
  <si>
    <t>سود (زيان) قبل از ماليات</t>
  </si>
  <si>
    <t>ماليات سود (-)</t>
  </si>
  <si>
    <t>گردش حساب سود(زيان) انباشته</t>
  </si>
  <si>
    <t>سود (زيان) انباشته در ابتداي سال</t>
  </si>
  <si>
    <t>سود قابل تخصيص</t>
  </si>
  <si>
    <t xml:space="preserve">     اندوخته قانوني</t>
  </si>
  <si>
    <t>سود (زيان) انباشته در پايان سال</t>
  </si>
  <si>
    <t>تسهيلات مالي دريافتي</t>
  </si>
  <si>
    <t xml:space="preserve">     ماليات</t>
  </si>
  <si>
    <t xml:space="preserve">     سود سهام</t>
  </si>
  <si>
    <t xml:space="preserve">   بازپرداخت تسهيلات دريافتي</t>
  </si>
  <si>
    <t>نرخ بازدهي داخلي سرمايه گذاري</t>
  </si>
  <si>
    <t xml:space="preserve">   درآمد فروش</t>
  </si>
  <si>
    <t xml:space="preserve">بهره و كارمزد تسهيلات مالي دريافتي </t>
  </si>
  <si>
    <t>هزينه‌هاي غير توليدي</t>
  </si>
  <si>
    <t>تراكم خريداري (متر مربع)</t>
  </si>
  <si>
    <t>تراكم مجاز (متر مربع)</t>
  </si>
  <si>
    <t>مساحت زمين (متر مربع)</t>
  </si>
  <si>
    <t>مساحت بنا (متر مربع)</t>
  </si>
  <si>
    <t>ارزش زمين (ميليون ريال)</t>
  </si>
  <si>
    <t xml:space="preserve">     تخريب- خاكبرداري - پي سازي</t>
  </si>
  <si>
    <t xml:space="preserve">     اجراي اسكلت</t>
  </si>
  <si>
    <t xml:space="preserve">     سقف بتوني و ديوار و نصب چارچوب</t>
  </si>
  <si>
    <t xml:space="preserve">     اجراي سقف كاذب</t>
  </si>
  <si>
    <t xml:space="preserve">     كفسازي، فرش كف، گچ و خاك</t>
  </si>
  <si>
    <t xml:space="preserve">     تأسيسات مرحلة اول (لوله، سيم، كانال يا فن كوئل)</t>
  </si>
  <si>
    <t xml:space="preserve">     سفيدكاري و كاشيكاري و ابزار</t>
  </si>
  <si>
    <t xml:space="preserve">     نماسازي‌ها</t>
  </si>
  <si>
    <t xml:space="preserve">     محوطه سازي و حصار محوطه</t>
  </si>
  <si>
    <t xml:space="preserve">     سايش كف و رنگ‌آميزي</t>
  </si>
  <si>
    <t xml:space="preserve">     در و پنجره فلزي و شيشه</t>
  </si>
  <si>
    <t xml:space="preserve">     در چوبي و كمد طبقه‌بندي و نجاري</t>
  </si>
  <si>
    <t xml:space="preserve">     عمليات اختتاميه</t>
  </si>
  <si>
    <t xml:space="preserve">     متفرقه و پيش‌بيني نشده و تمييزكاري</t>
  </si>
  <si>
    <t xml:space="preserve">     خدمات مشاوره و طراحي و تهيه نقشه‌هاي اجرائي (4%)</t>
  </si>
  <si>
    <t xml:space="preserve">     خدمات مهندسي و نظارت و مديريت اجرائي حين اجرا (15%)</t>
  </si>
  <si>
    <t xml:space="preserve">     خدمات كارگزاري و ساير خدمات (5%)</t>
  </si>
  <si>
    <t>جمع هزينه</t>
  </si>
  <si>
    <t xml:space="preserve">     تأسيسات مرحلة دوم (تجهيزات و موتورخانه)</t>
  </si>
  <si>
    <t>نرخ بهره</t>
  </si>
  <si>
    <t>درآمد فروش (ارزش دفتري)</t>
  </si>
  <si>
    <t>سهم پيش فروش از بنا %</t>
  </si>
  <si>
    <t xml:space="preserve">     سهم درآمد فروش ساليانه از كل درآمد فروش </t>
  </si>
  <si>
    <t xml:space="preserve">     درآمد فروش (ارزش دفتري)</t>
  </si>
  <si>
    <t>بهاي تمام شده بنا</t>
  </si>
  <si>
    <t xml:space="preserve">     هزينه بنا</t>
  </si>
  <si>
    <t xml:space="preserve">     هزينه مالي</t>
  </si>
  <si>
    <t xml:space="preserve">     هزينه بيمه</t>
  </si>
  <si>
    <t>منابع اعتباري دريافتي</t>
  </si>
  <si>
    <t xml:space="preserve">    تفاوت فروش از بهاي تمام شدة بنا</t>
  </si>
  <si>
    <t xml:space="preserve">     هزينه‌هاي بيمه(-)</t>
  </si>
  <si>
    <t>تحليل بازگشت سرمايه</t>
  </si>
  <si>
    <t xml:space="preserve">   آورده زمين (نيروي دريايي)</t>
  </si>
  <si>
    <t xml:space="preserve">آورده شركت سرمايه گذاري </t>
  </si>
  <si>
    <t>هزينة زمين هر متر مربع بنا (ميليون ريال)</t>
  </si>
  <si>
    <t>ميانگين وزني قيمت فروش هر متر مربع بنا</t>
  </si>
  <si>
    <t>هزينه‌هاي كارگزاري، مالي و بيمه هر متر مربع بنا (ميليون ريال)</t>
  </si>
  <si>
    <t>جمع هزينة يك متر مربع بنا</t>
  </si>
  <si>
    <t>تجزيه و تحليل هر متر مربع بناي ساخته و فروش رفته</t>
  </si>
  <si>
    <t>جمع هزينة عملياتي</t>
  </si>
  <si>
    <t>دورة بازگشت سرمايه (سال) بدون هزينه مالي</t>
  </si>
  <si>
    <t>بازدهي انباشتة سرمايه بدون هزينه مالي</t>
  </si>
  <si>
    <t xml:space="preserve"> سال 1383</t>
  </si>
  <si>
    <t xml:space="preserve"> سال 1384</t>
  </si>
  <si>
    <t>سال 1385</t>
  </si>
  <si>
    <t xml:space="preserve"> سال 1386</t>
  </si>
  <si>
    <t>ارزشيابي اقتصادي پروژة موج</t>
  </si>
  <si>
    <t xml:space="preserve">     هزينه‌هاي ثابت</t>
  </si>
  <si>
    <t xml:space="preserve">     هزينه‌هاي متغير</t>
  </si>
  <si>
    <t xml:space="preserve">   آورده شركت سرمايه گذاري بانك ملي</t>
  </si>
  <si>
    <t>ميزان منابع</t>
  </si>
  <si>
    <t xml:space="preserve">     هزينه زمين</t>
  </si>
  <si>
    <t xml:space="preserve">     خدمات كارگزاري</t>
  </si>
  <si>
    <t>قيمت هر متر مربع زمين با جواز و پرداخت تراكم (ميليون ريال)</t>
  </si>
  <si>
    <t>سود عملياتي بناي ساخته شده و فروش رفته</t>
  </si>
  <si>
    <t>ماليات</t>
  </si>
  <si>
    <t>جمعبندي سال 1384</t>
  </si>
  <si>
    <t>جمعبندي سال 1385</t>
  </si>
  <si>
    <t xml:space="preserve">     تجهيز كارگاه و تغيير محل و برش درخت</t>
  </si>
  <si>
    <t xml:space="preserve">     هزينه‌هاي اداري و عمومي و توزيع و فروش (كارگزاري)(-)</t>
  </si>
  <si>
    <t>هزينه طرح</t>
  </si>
  <si>
    <t>سود خالص هر متر مربع بنا</t>
  </si>
  <si>
    <t>نسبت سود خالص به هزينه هر متر مربع بنا</t>
  </si>
  <si>
    <t>جريان هزينه بدون احتساب تورم (ميليون ريال)</t>
  </si>
  <si>
    <t>جريان هزينه بدون احتساب تورم %</t>
  </si>
  <si>
    <t>جريان هزينه با احتساب تورم (ميليون ريال)</t>
  </si>
  <si>
    <t>جريان هزينه با احتساب تورم %</t>
  </si>
  <si>
    <t>بازدهي سرمايه بدون هزينه مالي (سود يا زيان خلص)</t>
  </si>
  <si>
    <t>بازدهي سرمايه (سود يا زيان خلص) + هزينه‌هاي مالي</t>
  </si>
  <si>
    <t>هزينة ساخت هر متر بنا بدون احتساب ارزش زمين (ميليون ريال)</t>
  </si>
  <si>
    <t>سهم پرداخت از هزينه %</t>
  </si>
  <si>
    <t>جريان پرداختي خريداران سال اول</t>
  </si>
  <si>
    <t xml:space="preserve">سهم پيش فروش از بنا متر مربع </t>
  </si>
  <si>
    <t>درآمد ناشي از پيش فروش</t>
  </si>
  <si>
    <t>جريان پرداختي خريداران سال دوم</t>
  </si>
  <si>
    <t>جريان پرداختي خريداران سال سوم</t>
  </si>
  <si>
    <t>جريان پرداختي خريداران سال چهارم</t>
  </si>
  <si>
    <t>جريان پرداختي خريداران</t>
  </si>
  <si>
    <t>% جريان پرداختي خريداران</t>
  </si>
  <si>
    <t>% جريان پرداختي خريداران سالهاي مختلف</t>
  </si>
  <si>
    <t>قيمت فروش يك متر مربع بنا (ميليون ريال)</t>
  </si>
  <si>
    <t>خالص جريان سرمايه‌گذاري دورة 1386-1383</t>
  </si>
  <si>
    <t>شرح گزينه‌ها: با نرخ بازگشت داخلي سرمايه 30% قيمت زمين چقدر باشد اگر:</t>
  </si>
  <si>
    <t xml:space="preserve">ملاحظات: تسهيلات دريافتي براي محاسبة نرخ بازدهي سرمايه وارد جريان ورودي سرمايه نشده است. از طرفي سال صفر پروژه منطبق بر سال يك قرار داده شده است. اين مسائل باعث تغيير در نرخ بازدهي داخلي خواهد شد. بايد توجه داشت كه نرخ بازدهي داخلي شاخصي نسبي است و نه مطلق و فقط براي تطبيق حالات مختلف يك يا چند پروژه با ويژگي‌هاي مالي كلي يكسان قابل استفاده است. علت اين تعديل محاسبة نرخ بازدهي داخلي براي ارزش فعلي صفر جريان سرمايه‌گذاري مي‌باشد. </t>
  </si>
  <si>
    <t>گزينة صفر در راستاي هدفيابي شش گزينة فوق نيست.</t>
  </si>
  <si>
    <t>گزينة 1: شركت ساختمان و صنعت اقدام به افزايش سرمايه نمايد و كسري منابع خود را از منابع اعتباري دريافت كند، بطوريكه نسبت افزايش سرمايه به وام يك به چهار باشد.</t>
  </si>
  <si>
    <t>گزينة 2: شركت ساختمان و صنعت اقدام به پيش فروش نمايد و مابقي كسري خود را از افزايش سرمايه تأمين نمايد.</t>
  </si>
  <si>
    <t>گزينة 3: شركت ساختمان و صنعت اقدام به افزايش سرمايه نمايد و كسري منابع خود را از پيش فروش ساختمانها و منابع اعتباري تأمين كند، بطوريكه نسبت افزايش سرمايه به وام يك به چهار باشد.</t>
  </si>
  <si>
    <t>گزينة 4: شركت ساختمان و صنعت كسري منابع خود را از پيش فروش ساختمانها و منابع اعتباري تأمين كند.</t>
  </si>
  <si>
    <t>گزينة 5: شركت ساختمان و صنعت كسري منابع خود را از پيش فروش ساختمانها تأمين كند.</t>
  </si>
  <si>
    <t>گزينة 6: شركت ساختمان و صنعت كسري منابع خود را با افزايش سرمايه تأمين نمايد.</t>
  </si>
  <si>
    <t xml:space="preserve">   ساختمانيودي نقدي اول دوره</t>
  </si>
  <si>
    <t>ارزشيابي اقتصادي پروژة ساختماني</t>
  </si>
  <si>
    <t>ارزشيابي اقتصادي پروژة ساختماني : گزينة 0</t>
  </si>
  <si>
    <t>ارزشيابي اقتصادي پروژة ساختماني : گزينة 6</t>
  </si>
  <si>
    <t>ارزشيابي اقتصادي پروژة ساختماني : گزينة 5</t>
  </si>
  <si>
    <t>ارزشيابي اقتصادي پروژة ساختماني : گزينة 4</t>
  </si>
  <si>
    <t>ارزشيابي اقتصادي پروژة ساختماني : گزينة 3</t>
  </si>
  <si>
    <t>ارزشيابي اقتصادي پروژة ساختماني : گزينة 2</t>
  </si>
  <si>
    <t>ارزشيابي اقتصادي پروژة ساختماني : گزينة 1</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</si>
</sst>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ريال&quot;;\-#,##0\ &quot;ريال&quot;"/>
    <numFmt numFmtId="165" formatCode="#,##0\ &quot;ريال&quot;;[Red]\-#,##0\ &quot;ريال&quot;"/>
    <numFmt numFmtId="166" formatCode="#,##0.00\ &quot;ريال&quot;;\-#,##0.00\ &quot;ريال&quot;"/>
    <numFmt numFmtId="167" formatCode="#,##0.00\ &quot;ريال&quot;;[Red]\-#,##0.00\ &quot;ريال&quot;"/>
    <numFmt numFmtId="168" formatCode="_-* #,##0\ &quot;ريال&quot;_-;\-* #,##0\ &quot;ريال&quot;_-;_-* &quot;-&quot;\ &quot;ريال&quot;_-;_-@_-"/>
    <numFmt numFmtId="169" formatCode="_-* #,##0\ _ر_ي_ا_ل_-;\-* #,##0\ _ر_ي_ا_ل_-;_-* &quot;-&quot;\ _ر_ي_ا_ل_-;_-@_-"/>
    <numFmt numFmtId="170" formatCode="_-* #,##0.00\ &quot;ريال&quot;_-;\-* #,##0.00\ &quot;ريال&quot;_-;_-* &quot;-&quot;??\ &quot;ريال&quot;_-;_-@_-"/>
    <numFmt numFmtId="171" formatCode="_-* #,##0.00\ _ر_ي_ا_ل_-;\-* #,##0.00\ _ر_ي_ا_ل_-;_-* &quot;-&quot;??\ _ر_ي_ا_ل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ريال&quot;#,##0;\-&quot;ريال&quot;#,##0"/>
    <numFmt numFmtId="181" formatCode="&quot;ريال&quot;#,##0;[Red]\-&quot;ريال&quot;#,##0"/>
    <numFmt numFmtId="182" formatCode="&quot;ريال&quot;#,##0.00;\-&quot;ريال&quot;#,##0.00"/>
    <numFmt numFmtId="183" formatCode="&quot;ريال&quot;#,##0.00;[Red]\-&quot;ريال&quot;#,##0.00"/>
    <numFmt numFmtId="184" formatCode="_-&quot;ريال&quot;* #,##0_-;\-&quot;ريال&quot;* #,##0_-;_-&quot;ريال&quot;* &quot;-&quot;_-;_-@_-"/>
    <numFmt numFmtId="185" formatCode="_-&quot;ريال&quot;* #,##0.00_-;\-&quot;ريال&quot;* #,##0.00_-;_-&quot;ريال&quot;* &quot;-&quot;??_-;_-@_-"/>
    <numFmt numFmtId="186" formatCode="&quot;ÑíÇá&quot;#,##0;\-&quot;ÑíÇá&quot;#,##0"/>
    <numFmt numFmtId="187" formatCode="&quot;ÑíÇá&quot;#,##0;[Red]\-&quot;ÑíÇá&quot;#,##0"/>
    <numFmt numFmtId="188" formatCode="&quot;ÑíÇá&quot;#,##0.00;\-&quot;ÑíÇá&quot;#,##0.00"/>
    <numFmt numFmtId="189" formatCode="&quot;ÑíÇá&quot;#,##0.00;[Red]\-&quot;ÑíÇá&quot;#,##0.00"/>
    <numFmt numFmtId="190" formatCode="_-&quot;ÑíÇá&quot;* #,##0_-;\-&quot;ÑíÇá&quot;* #,##0_-;_-&quot;ÑíÇá&quot;* &quot;-&quot;_-;_-@_-"/>
    <numFmt numFmtId="191" formatCode="_-&quot;ÑíÇá&quot;* #,##0.00_-;\-&quot;ÑíÇá&quot;* #,##0.00_-;_-&quot;ÑíÇá&quot;* &quot;-&quot;??_-;_-@_-"/>
    <numFmt numFmtId="192" formatCode="_(* #,##0_);_(* \(#,##0\);_(* &quot;-&quot;??_);_(@_)"/>
    <numFmt numFmtId="193" formatCode="0.0%"/>
    <numFmt numFmtId="194" formatCode="#,##0.0;\(#,##0.0\)"/>
    <numFmt numFmtId="195" formatCode="#,##0;\(#,##0\)"/>
    <numFmt numFmtId="196" formatCode="%#,##0;\(%#,##0\)"/>
    <numFmt numFmtId="197" formatCode="%#,##0.0;\(%#,##0.0\)"/>
    <numFmt numFmtId="198" formatCode="#,##0.00;\(#,##0.00\)"/>
    <numFmt numFmtId="199" formatCode="%0"/>
    <numFmt numFmtId="200" formatCode="%0.0"/>
    <numFmt numFmtId="201" formatCode="%0.00"/>
    <numFmt numFmtId="202" formatCode="#,##0.0"/>
    <numFmt numFmtId="203" formatCode="#,##0.000"/>
    <numFmt numFmtId="204" formatCode="&quot;ريال&quot;#,##0.0"/>
    <numFmt numFmtId="205" formatCode="&quot;ريال&quot;#,##0"/>
    <numFmt numFmtId="206" formatCode="0.0"/>
    <numFmt numFmtId="207" formatCode="0.000"/>
    <numFmt numFmtId="208" formatCode="#,##0.000;\(#,##0.000\)"/>
    <numFmt numFmtId="209" formatCode="#,##0.0000;\(#,##0.0000\)"/>
    <numFmt numFmtId="210" formatCode="#,##0.00000;\(#,##0.00000\)"/>
    <numFmt numFmtId="211" formatCode="#,##0.000000;\(#,##0.000000\)"/>
    <numFmt numFmtId="212" formatCode="#,##0.0000000;\(#,##0.0000000\)"/>
    <numFmt numFmtId="213" formatCode="#,##0.00000000;\(#,##0.00000000\)"/>
    <numFmt numFmtId="214" formatCode="0.0000"/>
  </numFmts>
  <fonts count="22">
    <font>
      <sz val="10"/>
      <name val="Arial"/>
      <family val="0"/>
    </font>
    <font>
      <b/>
      <sz val="10"/>
      <name val="Arial"/>
      <family val="2"/>
    </font>
    <font>
      <u val="single"/>
      <sz val="10"/>
      <name val="Arial"/>
      <family val="2"/>
    </font>
    <font>
      <b/>
      <sz val="12"/>
      <name val="Arial"/>
      <family val="2"/>
    </font>
    <font>
      <u val="single"/>
      <sz val="10"/>
      <color indexed="12"/>
      <name val="Arial"/>
      <family val="0"/>
    </font>
    <font>
      <u val="single"/>
      <sz val="10"/>
      <color indexed="36"/>
      <name val="Arial"/>
      <family val="0"/>
    </font>
    <font>
      <sz val="12"/>
      <name val="Traditional Arabic"/>
      <family val="0"/>
    </font>
    <font>
      <sz val="12"/>
      <name val="Arial"/>
      <family val="2"/>
    </font>
    <font>
      <u val="double"/>
      <sz val="10"/>
      <name val="Arial"/>
      <family val="2"/>
    </font>
    <font>
      <sz val="8"/>
      <name val="Arial"/>
      <family val="0"/>
    </font>
    <font>
      <b/>
      <sz val="20"/>
      <name val="B Zar"/>
      <family val="0"/>
    </font>
    <font>
      <sz val="20"/>
      <name val="B Zar"/>
      <family val="0"/>
    </font>
    <font>
      <b/>
      <u val="single"/>
      <sz val="10"/>
      <name val="Arial"/>
      <family val="2"/>
    </font>
    <font>
      <sz val="14"/>
      <name val="B Zar"/>
      <family val="0"/>
    </font>
    <font>
      <b/>
      <sz val="14"/>
      <name val="B Zar"/>
      <family val="0"/>
    </font>
    <font>
      <b/>
      <sz val="14"/>
      <name val="Arial"/>
      <family val="0"/>
    </font>
    <font>
      <b/>
      <sz val="12"/>
      <name val="B Zar"/>
      <family val="0"/>
    </font>
    <font>
      <sz val="10"/>
      <name val="B Zar"/>
      <family val="0"/>
    </font>
    <font>
      <b/>
      <sz val="14"/>
      <name val="B Titr"/>
      <family val="0"/>
    </font>
    <font>
      <sz val="12"/>
      <name val="B Zar"/>
      <family val="0"/>
    </font>
    <font>
      <u val="single"/>
      <sz val="12"/>
      <name val="B Zar"/>
      <family val="0"/>
    </font>
    <font>
      <u val="double"/>
      <sz val="12"/>
      <name val="B Zar"/>
      <family val="0"/>
    </font>
  </fonts>
  <fills count="3">
    <fill>
      <patternFill/>
    </fill>
    <fill>
      <patternFill patternType="gray125"/>
    </fill>
    <fill>
      <patternFill patternType="solid">
        <fgColor indexed="47"/>
        <bgColor indexed="64"/>
      </patternFill>
    </fill>
  </fills>
  <borders count="9">
    <border>
      <left/>
      <right/>
      <top/>
      <bottom/>
      <diagonal/>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double"/>
    </border>
    <border>
      <left style="double"/>
      <right>
        <color indexed="63"/>
      </right>
      <top style="double"/>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4" fontId="0" fillId="0" borderId="0" applyFont="0" applyFill="0" applyBorder="0" applyAlignment="0" applyProtection="0"/>
    <xf numFmtId="197" fontId="6"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99" fontId="0" fillId="0" borderId="0" applyFont="0" applyFill="0" applyBorder="0" applyAlignment="0" applyProtection="0"/>
  </cellStyleXfs>
  <cellXfs count="91">
    <xf numFmtId="0" fontId="0" fillId="0" borderId="0" xfId="0" applyAlignment="1">
      <alignment/>
    </xf>
    <xf numFmtId="195" fontId="0" fillId="0" borderId="0" xfId="19" applyNumberFormat="1" applyFont="1" applyFill="1" applyBorder="1" applyAlignment="1">
      <alignment horizontal="right" readingOrder="2"/>
    </xf>
    <xf numFmtId="195" fontId="2" fillId="0" borderId="0" xfId="19" applyNumberFormat="1" applyFont="1" applyFill="1" applyBorder="1" applyAlignment="1">
      <alignment horizontal="right" readingOrder="2"/>
    </xf>
    <xf numFmtId="195" fontId="3" fillId="0" borderId="0" xfId="19" applyNumberFormat="1" applyFont="1" applyFill="1" applyBorder="1" applyAlignment="1">
      <alignment horizontal="right" readingOrder="2"/>
    </xf>
    <xf numFmtId="195" fontId="0" fillId="0" borderId="0" xfId="19" applyNumberFormat="1" applyFont="1" applyFill="1" applyBorder="1" applyAlignment="1">
      <alignment readingOrder="2"/>
    </xf>
    <xf numFmtId="195" fontId="7" fillId="0" borderId="0" xfId="19" applyNumberFormat="1" applyFont="1" applyFill="1" applyBorder="1" applyAlignment="1">
      <alignment horizontal="right" readingOrder="2"/>
    </xf>
    <xf numFmtId="195" fontId="1" fillId="0" borderId="0" xfId="19" applyNumberFormat="1" applyFont="1" applyFill="1" applyBorder="1" applyAlignment="1">
      <alignment horizontal="right" readingOrder="2"/>
    </xf>
    <xf numFmtId="195" fontId="8" fillId="0" borderId="0" xfId="19" applyNumberFormat="1" applyFont="1" applyFill="1" applyBorder="1" applyAlignment="1">
      <alignment horizontal="right" readingOrder="2"/>
    </xf>
    <xf numFmtId="0" fontId="1" fillId="0" borderId="0" xfId="0" applyFont="1" applyFill="1" applyBorder="1" applyAlignment="1">
      <alignment horizontal="center" readingOrder="2"/>
    </xf>
    <xf numFmtId="0" fontId="0" fillId="0" borderId="0" xfId="0" applyFill="1" applyAlignment="1">
      <alignment/>
    </xf>
    <xf numFmtId="0" fontId="0" fillId="0" borderId="0" xfId="0" applyFont="1" applyFill="1" applyAlignment="1">
      <alignment/>
    </xf>
    <xf numFmtId="0" fontId="0" fillId="0" borderId="0" xfId="0" applyFill="1" applyBorder="1" applyAlignment="1">
      <alignment/>
    </xf>
    <xf numFmtId="0" fontId="1" fillId="0" borderId="0" xfId="0" applyFont="1" applyFill="1" applyBorder="1" applyAlignment="1">
      <alignment horizontal="right" readingOrder="2"/>
    </xf>
    <xf numFmtId="0" fontId="0" fillId="0" borderId="0" xfId="0" applyFont="1" applyFill="1" applyBorder="1" applyAlignment="1">
      <alignment readingOrder="2"/>
    </xf>
    <xf numFmtId="3" fontId="0" fillId="0" borderId="0" xfId="0" applyNumberFormat="1" applyFont="1" applyFill="1" applyBorder="1" applyAlignment="1">
      <alignment horizontal="center" readingOrder="2"/>
    </xf>
    <xf numFmtId="0" fontId="0" fillId="0" borderId="0" xfId="0" applyFont="1" applyFill="1" applyBorder="1" applyAlignment="1">
      <alignment horizontal="center" readingOrder="2"/>
    </xf>
    <xf numFmtId="200" fontId="0" fillId="0" borderId="0" xfId="23" applyNumberFormat="1" applyFont="1" applyFill="1" applyBorder="1" applyAlignment="1">
      <alignment horizontal="right" readingOrder="2"/>
    </xf>
    <xf numFmtId="200" fontId="0" fillId="0" borderId="0" xfId="23" applyNumberFormat="1" applyFont="1" applyFill="1" applyBorder="1" applyAlignment="1">
      <alignment readingOrder="2"/>
    </xf>
    <xf numFmtId="195" fontId="2" fillId="0" borderId="0" xfId="19" applyNumberFormat="1" applyFont="1" applyFill="1" applyBorder="1" applyAlignment="1">
      <alignment readingOrder="2"/>
    </xf>
    <xf numFmtId="0" fontId="2" fillId="0" borderId="0" xfId="0" applyFont="1" applyFill="1" applyBorder="1" applyAlignment="1">
      <alignment readingOrder="2"/>
    </xf>
    <xf numFmtId="200" fontId="2" fillId="0" borderId="0" xfId="23" applyNumberFormat="1" applyFont="1" applyFill="1" applyBorder="1" applyAlignment="1">
      <alignment horizontal="right" readingOrder="2"/>
    </xf>
    <xf numFmtId="200" fontId="2" fillId="0" borderId="0" xfId="23" applyNumberFormat="1" applyFont="1" applyFill="1" applyBorder="1" applyAlignment="1">
      <alignment readingOrder="2"/>
    </xf>
    <xf numFmtId="3" fontId="0" fillId="0" borderId="0" xfId="0" applyNumberFormat="1" applyFont="1" applyFill="1" applyBorder="1" applyAlignment="1">
      <alignment horizontal="right" readingOrder="2"/>
    </xf>
    <xf numFmtId="0" fontId="0" fillId="0" borderId="0" xfId="0" applyFont="1" applyFill="1" applyBorder="1" applyAlignment="1">
      <alignment horizontal="right" readingOrder="2"/>
    </xf>
    <xf numFmtId="194" fontId="0" fillId="0" borderId="0" xfId="19" applyNumberFormat="1" applyFont="1" applyFill="1" applyBorder="1" applyAlignment="1">
      <alignment horizontal="right" readingOrder="2"/>
    </xf>
    <xf numFmtId="195" fontId="8" fillId="0" borderId="0" xfId="19" applyNumberFormat="1" applyFont="1" applyFill="1" applyBorder="1" applyAlignment="1">
      <alignment readingOrder="2"/>
    </xf>
    <xf numFmtId="192" fontId="3" fillId="0" borderId="0" xfId="15" applyNumberFormat="1" applyFont="1" applyFill="1" applyBorder="1" applyAlignment="1">
      <alignment horizontal="center" readingOrder="2"/>
    </xf>
    <xf numFmtId="0" fontId="3" fillId="0" borderId="0" xfId="0" applyFont="1" applyFill="1" applyBorder="1" applyAlignment="1">
      <alignment horizontal="right" readingOrder="2"/>
    </xf>
    <xf numFmtId="0" fontId="8" fillId="0" borderId="0" xfId="0" applyFont="1" applyFill="1" applyBorder="1" applyAlignment="1">
      <alignment readingOrder="2"/>
    </xf>
    <xf numFmtId="195" fontId="0" fillId="0" borderId="0" xfId="0" applyNumberFormat="1" applyFont="1" applyFill="1" applyBorder="1" applyAlignment="1">
      <alignment horizontal="right" readingOrder="2"/>
    </xf>
    <xf numFmtId="199" fontId="2" fillId="0" borderId="0" xfId="23" applyFont="1" applyFill="1" applyBorder="1" applyAlignment="1">
      <alignment horizontal="right" readingOrder="2"/>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readingOrder="2"/>
    </xf>
    <xf numFmtId="0" fontId="0" fillId="0" borderId="0" xfId="0" applyFill="1" applyAlignment="1">
      <alignment horizontal="center" vertical="center" wrapText="1"/>
    </xf>
    <xf numFmtId="195" fontId="0" fillId="0" borderId="0" xfId="0" applyNumberFormat="1" applyFill="1" applyAlignment="1">
      <alignment/>
    </xf>
    <xf numFmtId="0" fontId="8" fillId="0" borderId="0" xfId="0" applyFont="1" applyFill="1" applyAlignment="1">
      <alignment/>
    </xf>
    <xf numFmtId="0" fontId="1" fillId="2" borderId="0" xfId="0" applyFont="1" applyFill="1" applyBorder="1" applyAlignment="1">
      <alignment horizontal="center" vertical="center" wrapText="1" readingOrder="2"/>
    </xf>
    <xf numFmtId="0" fontId="1" fillId="2" borderId="0" xfId="0" applyFont="1" applyFill="1" applyBorder="1" applyAlignment="1">
      <alignment horizontal="center" readingOrder="2"/>
    </xf>
    <xf numFmtId="195" fontId="0" fillId="2" borderId="0" xfId="19" applyNumberFormat="1" applyFont="1" applyFill="1" applyBorder="1" applyAlignment="1">
      <alignment horizontal="right" readingOrder="2"/>
    </xf>
    <xf numFmtId="195" fontId="2" fillId="2" borderId="0" xfId="19" applyNumberFormat="1" applyFont="1" applyFill="1" applyBorder="1" applyAlignment="1">
      <alignment horizontal="right" readingOrder="2"/>
    </xf>
    <xf numFmtId="195" fontId="8" fillId="2" borderId="0" xfId="19" applyNumberFormat="1" applyFont="1" applyFill="1" applyBorder="1" applyAlignment="1">
      <alignment horizontal="right" readingOrder="2"/>
    </xf>
    <xf numFmtId="201" fontId="0" fillId="0" borderId="0" xfId="23" applyNumberFormat="1" applyFont="1" applyFill="1" applyBorder="1" applyAlignment="1">
      <alignment horizontal="right" readingOrder="2"/>
    </xf>
    <xf numFmtId="201" fontId="2" fillId="0" borderId="0" xfId="23" applyNumberFormat="1" applyFont="1" applyFill="1" applyBorder="1" applyAlignment="1">
      <alignment horizontal="right" readingOrder="2"/>
    </xf>
    <xf numFmtId="0" fontId="3" fillId="0" borderId="0" xfId="0" applyFont="1" applyFill="1" applyBorder="1" applyAlignment="1">
      <alignment horizontal="center" readingOrder="2"/>
    </xf>
    <xf numFmtId="195" fontId="2" fillId="0" borderId="0" xfId="0" applyNumberFormat="1" applyFont="1" applyFill="1" applyBorder="1" applyAlignment="1">
      <alignment horizontal="right" readingOrder="2"/>
    </xf>
    <xf numFmtId="195" fontId="12" fillId="0" borderId="0" xfId="19" applyNumberFormat="1" applyFont="1" applyFill="1" applyBorder="1" applyAlignment="1">
      <alignment readingOrder="2"/>
    </xf>
    <xf numFmtId="194" fontId="2" fillId="0" borderId="0" xfId="19" applyNumberFormat="1" applyFont="1" applyFill="1" applyBorder="1" applyAlignment="1">
      <alignment horizontal="right" readingOrder="2"/>
    </xf>
    <xf numFmtId="3" fontId="0" fillId="0" borderId="1" xfId="0" applyNumberFormat="1" applyFont="1" applyFill="1" applyBorder="1" applyAlignment="1">
      <alignment horizontal="center" readingOrder="2"/>
    </xf>
    <xf numFmtId="200" fontId="0" fillId="0" borderId="1" xfId="23" applyNumberFormat="1" applyFont="1" applyFill="1" applyBorder="1" applyAlignment="1">
      <alignment horizontal="right" readingOrder="2"/>
    </xf>
    <xf numFmtId="195" fontId="0" fillId="0" borderId="1" xfId="19" applyNumberFormat="1" applyFont="1" applyFill="1" applyBorder="1" applyAlignment="1">
      <alignment horizontal="right" readingOrder="2"/>
    </xf>
    <xf numFmtId="194" fontId="0" fillId="0" borderId="1" xfId="19" applyNumberFormat="1" applyFont="1" applyFill="1" applyBorder="1" applyAlignment="1">
      <alignment horizontal="right" readingOrder="2"/>
    </xf>
    <xf numFmtId="195" fontId="2" fillId="0" borderId="1" xfId="19" applyNumberFormat="1" applyFont="1" applyFill="1" applyBorder="1" applyAlignment="1">
      <alignment horizontal="right" readingOrder="2"/>
    </xf>
    <xf numFmtId="200" fontId="2" fillId="0" borderId="1" xfId="23" applyNumberFormat="1" applyFont="1" applyFill="1" applyBorder="1" applyAlignment="1">
      <alignment horizontal="right" readingOrder="2"/>
    </xf>
    <xf numFmtId="201" fontId="2" fillId="0" borderId="1" xfId="23" applyNumberFormat="1" applyFont="1" applyFill="1" applyBorder="1" applyAlignment="1">
      <alignment horizontal="right" readingOrder="2"/>
    </xf>
    <xf numFmtId="195" fontId="8" fillId="0" borderId="1" xfId="19" applyNumberFormat="1" applyFont="1" applyFill="1" applyBorder="1" applyAlignment="1">
      <alignment horizontal="right" readingOrder="2"/>
    </xf>
    <xf numFmtId="3" fontId="0" fillId="0" borderId="1" xfId="0" applyNumberFormat="1" applyFont="1" applyFill="1" applyBorder="1" applyAlignment="1">
      <alignment horizontal="right" readingOrder="2"/>
    </xf>
    <xf numFmtId="195" fontId="0" fillId="0" borderId="1" xfId="19" applyNumberFormat="1" applyFont="1" applyFill="1" applyBorder="1" applyAlignment="1">
      <alignment readingOrder="2"/>
    </xf>
    <xf numFmtId="199" fontId="2" fillId="0" borderId="1" xfId="23" applyFont="1" applyFill="1" applyBorder="1" applyAlignment="1">
      <alignment horizontal="right" readingOrder="2"/>
    </xf>
    <xf numFmtId="195" fontId="8" fillId="0" borderId="2" xfId="19" applyNumberFormat="1" applyFont="1" applyFill="1" applyBorder="1" applyAlignment="1">
      <alignment horizontal="right" readingOrder="2"/>
    </xf>
    <xf numFmtId="200" fontId="8" fillId="0" borderId="2" xfId="23" applyNumberFormat="1" applyFont="1" applyFill="1" applyBorder="1" applyAlignment="1">
      <alignment horizontal="right" readingOrder="2"/>
    </xf>
    <xf numFmtId="200" fontId="8" fillId="0" borderId="3" xfId="23" applyNumberFormat="1" applyFont="1" applyFill="1" applyBorder="1" applyAlignment="1">
      <alignment horizontal="right" readingOrder="2"/>
    </xf>
    <xf numFmtId="0" fontId="11" fillId="0" borderId="0" xfId="0" applyFont="1" applyFill="1" applyBorder="1" applyAlignment="1">
      <alignment vertical="top" readingOrder="2"/>
    </xf>
    <xf numFmtId="0" fontId="11" fillId="0" borderId="0" xfId="0" applyFont="1" applyFill="1" applyBorder="1" applyAlignment="1">
      <alignment vertical="center" readingOrder="2"/>
    </xf>
    <xf numFmtId="0" fontId="3" fillId="0" borderId="0" xfId="0" applyFont="1" applyFill="1" applyBorder="1" applyAlignment="1">
      <alignment horizontal="center" vertical="center" readingOrder="2"/>
    </xf>
    <xf numFmtId="192" fontId="16" fillId="0" borderId="4" xfId="15" applyNumberFormat="1" applyFont="1" applyFill="1" applyBorder="1" applyAlignment="1">
      <alignment horizontal="right" readingOrder="2"/>
    </xf>
    <xf numFmtId="195" fontId="16" fillId="0" borderId="4" xfId="19" applyNumberFormat="1" applyFont="1" applyFill="1" applyBorder="1" applyAlignment="1">
      <alignment horizontal="right" readingOrder="2"/>
    </xf>
    <xf numFmtId="0" fontId="16" fillId="0" borderId="4" xfId="0" applyFont="1" applyFill="1" applyBorder="1" applyAlignment="1">
      <alignment horizontal="right" readingOrder="2"/>
    </xf>
    <xf numFmtId="0" fontId="17" fillId="0" borderId="0" xfId="0" applyFont="1" applyFill="1" applyBorder="1" applyAlignment="1">
      <alignment horizontal="right" readingOrder="2"/>
    </xf>
    <xf numFmtId="0" fontId="3" fillId="0" borderId="5" xfId="0" applyFont="1" applyFill="1" applyBorder="1" applyAlignment="1">
      <alignment horizontal="center" readingOrder="2"/>
    </xf>
    <xf numFmtId="0" fontId="3" fillId="0" borderId="6" xfId="0" applyFont="1" applyFill="1" applyBorder="1" applyAlignment="1">
      <alignment horizontal="center" readingOrder="2"/>
    </xf>
    <xf numFmtId="200" fontId="19" fillId="0" borderId="4" xfId="23" applyNumberFormat="1" applyFont="1" applyFill="1" applyBorder="1" applyAlignment="1">
      <alignment horizontal="right" readingOrder="2"/>
    </xf>
    <xf numFmtId="195" fontId="19" fillId="0" borderId="4" xfId="19" applyNumberFormat="1" applyFont="1" applyFill="1" applyBorder="1" applyAlignment="1">
      <alignment horizontal="right" readingOrder="2"/>
    </xf>
    <xf numFmtId="195" fontId="20" fillId="0" borderId="4" xfId="19" applyNumberFormat="1" applyFont="1" applyFill="1" applyBorder="1" applyAlignment="1">
      <alignment horizontal="right" readingOrder="2"/>
    </xf>
    <xf numFmtId="195" fontId="19" fillId="0" borderId="4" xfId="19" applyNumberFormat="1" applyFont="1" applyFill="1" applyBorder="1" applyAlignment="1">
      <alignment horizontal="right" wrapText="1" readingOrder="2"/>
    </xf>
    <xf numFmtId="195" fontId="20" fillId="0" borderId="4" xfId="19" applyNumberFormat="1" applyFont="1" applyFill="1" applyBorder="1" applyAlignment="1">
      <alignment horizontal="right" wrapText="1" readingOrder="2"/>
    </xf>
    <xf numFmtId="195" fontId="21" fillId="0" borderId="4" xfId="19" applyNumberFormat="1" applyFont="1" applyFill="1" applyBorder="1" applyAlignment="1">
      <alignment horizontal="right" readingOrder="2"/>
    </xf>
    <xf numFmtId="0" fontId="19" fillId="0" borderId="4" xfId="0" applyFont="1" applyFill="1" applyBorder="1" applyAlignment="1">
      <alignment horizontal="right" readingOrder="2"/>
    </xf>
    <xf numFmtId="200" fontId="19" fillId="0" borderId="4" xfId="23" applyNumberFormat="1" applyFont="1" applyFill="1" applyBorder="1" applyAlignment="1">
      <alignment readingOrder="2"/>
    </xf>
    <xf numFmtId="194" fontId="19" fillId="0" borderId="4" xfId="19" applyNumberFormat="1" applyFont="1" applyFill="1" applyBorder="1" applyAlignment="1">
      <alignment horizontal="right" readingOrder="2"/>
    </xf>
    <xf numFmtId="195" fontId="21" fillId="0" borderId="7" xfId="19" applyNumberFormat="1" applyFont="1" applyFill="1" applyBorder="1" applyAlignment="1">
      <alignment horizontal="right" readingOrder="2"/>
    </xf>
    <xf numFmtId="0" fontId="19" fillId="0" borderId="0" xfId="0" applyFont="1" applyFill="1" applyBorder="1" applyAlignment="1">
      <alignment horizontal="right" readingOrder="2"/>
    </xf>
    <xf numFmtId="199" fontId="0" fillId="0" borderId="0" xfId="23" applyNumberFormat="1" applyFont="1" applyFill="1" applyBorder="1" applyAlignment="1">
      <alignment horizontal="right" readingOrder="2"/>
    </xf>
    <xf numFmtId="0" fontId="13" fillId="0" borderId="2" xfId="0" applyFont="1" applyFill="1" applyBorder="1" applyAlignment="1">
      <alignment horizontal="right" vertical="center" wrapText="1" readingOrder="2"/>
    </xf>
    <xf numFmtId="0" fontId="13" fillId="0" borderId="0" xfId="0" applyFont="1" applyFill="1" applyBorder="1" applyAlignment="1">
      <alignment horizontal="right" vertical="center" wrapText="1" readingOrder="2"/>
    </xf>
    <xf numFmtId="0" fontId="10" fillId="0" borderId="8" xfId="0" applyFont="1" applyFill="1" applyBorder="1" applyAlignment="1">
      <alignment horizontal="right" readingOrder="2"/>
    </xf>
    <xf numFmtId="0" fontId="10" fillId="0" borderId="5" xfId="0" applyFont="1" applyFill="1" applyBorder="1" applyAlignment="1">
      <alignment horizontal="right" readingOrder="2"/>
    </xf>
    <xf numFmtId="0" fontId="10" fillId="0" borderId="6" xfId="0" applyFont="1" applyFill="1" applyBorder="1" applyAlignment="1">
      <alignment horizontal="right" readingOrder="2"/>
    </xf>
    <xf numFmtId="0" fontId="18" fillId="0" borderId="8" xfId="0" applyFont="1" applyFill="1" applyBorder="1" applyAlignment="1">
      <alignment horizontal="right" readingOrder="2"/>
    </xf>
    <xf numFmtId="0" fontId="18" fillId="0" borderId="5" xfId="0" applyFont="1" applyFill="1" applyBorder="1" applyAlignment="1">
      <alignment horizontal="right" readingOrder="2"/>
    </xf>
    <xf numFmtId="0" fontId="14" fillId="0" borderId="0" xfId="0" applyFont="1" applyFill="1" applyBorder="1" applyAlignment="1">
      <alignment horizontal="right" vertical="center" readingOrder="2"/>
    </xf>
    <xf numFmtId="0" fontId="15" fillId="0" borderId="0" xfId="0" applyFont="1" applyAlignment="1">
      <alignment vertical="center"/>
    </xf>
  </cellXfs>
  <cellStyles count="10">
    <cellStyle name="Normal" xfId="0"/>
    <cellStyle name="Comma" xfId="15"/>
    <cellStyle name="Comma [0]" xfId="16"/>
    <cellStyle name="Currency" xfId="17"/>
    <cellStyle name="Currency [0]" xfId="18"/>
    <cellStyle name="Farsi menha" xfId="19"/>
    <cellStyle name="Farsi percent" xfId="20"/>
    <cellStyle name="Followed Hyperlink" xfId="21"/>
    <cellStyle name="Hyperlink" xfId="22"/>
    <cellStyle name="Percent" xfId="23"/>
  </cellStyles>
  <dxfs count="2">
    <dxf>
      <fill>
        <patternFill>
          <bgColor rgb="FFFFFF99"/>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K327"/>
  <sheetViews>
    <sheetView rightToLeft="1" tabSelected="1" workbookViewId="0" topLeftCell="A7">
      <selection activeCell="A11" sqref="A11:B11"/>
    </sheetView>
  </sheetViews>
  <sheetFormatPr defaultColWidth="9.140625" defaultRowHeight="12.75"/>
  <cols>
    <col min="1" max="1" width="42.00390625" style="67" customWidth="1"/>
    <col min="2" max="2" width="9.57421875" style="23" customWidth="1"/>
    <col min="3" max="3" width="10.7109375" style="13" customWidth="1"/>
    <col min="4" max="6" width="9.00390625" style="13" customWidth="1"/>
    <col min="7" max="16384" width="9.140625" style="13" customWidth="1"/>
  </cols>
  <sheetData>
    <row r="1" spans="1:11" s="62" customFormat="1" ht="35.25" customHeight="1" thickBot="1" thickTop="1">
      <c r="A1" s="84" t="s">
        <v>163</v>
      </c>
      <c r="B1" s="85"/>
      <c r="C1" s="85"/>
      <c r="D1" s="85"/>
      <c r="E1" s="85"/>
      <c r="F1" s="86"/>
      <c r="G1" s="61"/>
      <c r="H1" s="61"/>
      <c r="I1" s="61"/>
      <c r="J1" s="61"/>
      <c r="K1" s="61"/>
    </row>
    <row r="2" spans="1:11" s="63" customFormat="1" ht="32.25" customHeight="1" thickTop="1">
      <c r="A2" s="89" t="s">
        <v>153</v>
      </c>
      <c r="B2" s="90"/>
      <c r="C2" s="90"/>
      <c r="D2" s="90"/>
      <c r="E2" s="90"/>
      <c r="F2" s="90"/>
      <c r="G2" s="61"/>
      <c r="H2" s="61"/>
      <c r="I2" s="61"/>
      <c r="J2" s="61"/>
      <c r="K2" s="61"/>
    </row>
    <row r="3" spans="1:11" s="63" customFormat="1" ht="47.25" customHeight="1">
      <c r="A3" s="83" t="s">
        <v>156</v>
      </c>
      <c r="B3" s="83"/>
      <c r="C3" s="83"/>
      <c r="D3" s="83"/>
      <c r="E3" s="83"/>
      <c r="F3" s="83"/>
      <c r="G3" s="61"/>
      <c r="H3" s="61"/>
      <c r="I3" s="61"/>
      <c r="J3" s="61"/>
      <c r="K3" s="61"/>
    </row>
    <row r="4" spans="1:11" s="63" customFormat="1" ht="22.5" customHeight="1">
      <c r="A4" s="83" t="s">
        <v>157</v>
      </c>
      <c r="B4" s="83"/>
      <c r="C4" s="83"/>
      <c r="D4" s="83"/>
      <c r="E4" s="83"/>
      <c r="F4" s="83"/>
      <c r="G4" s="61"/>
      <c r="H4" s="61"/>
      <c r="I4" s="61"/>
      <c r="J4" s="61"/>
      <c r="K4" s="61"/>
    </row>
    <row r="5" spans="1:11" s="63" customFormat="1" ht="48.75" customHeight="1">
      <c r="A5" s="83" t="s">
        <v>158</v>
      </c>
      <c r="B5" s="83"/>
      <c r="C5" s="83"/>
      <c r="D5" s="83"/>
      <c r="E5" s="83"/>
      <c r="F5" s="83"/>
      <c r="G5" s="61"/>
      <c r="H5" s="61"/>
      <c r="I5" s="61"/>
      <c r="J5" s="61"/>
      <c r="K5" s="61"/>
    </row>
    <row r="6" spans="1:11" s="63" customFormat="1" ht="21" customHeight="1">
      <c r="A6" s="83" t="s">
        <v>159</v>
      </c>
      <c r="B6" s="83"/>
      <c r="C6" s="83"/>
      <c r="D6" s="83"/>
      <c r="E6" s="83"/>
      <c r="F6" s="83"/>
      <c r="G6" s="61"/>
      <c r="H6" s="61"/>
      <c r="I6" s="61"/>
      <c r="J6" s="61"/>
      <c r="K6" s="61"/>
    </row>
    <row r="7" spans="1:11" s="63" customFormat="1" ht="22.5" customHeight="1">
      <c r="A7" s="83" t="s">
        <v>160</v>
      </c>
      <c r="B7" s="83"/>
      <c r="C7" s="83"/>
      <c r="D7" s="83"/>
      <c r="E7" s="83"/>
      <c r="F7" s="83"/>
      <c r="G7" s="61"/>
      <c r="H7" s="61"/>
      <c r="I7" s="61"/>
      <c r="J7" s="61"/>
      <c r="K7" s="61"/>
    </row>
    <row r="8" spans="1:11" s="63" customFormat="1" ht="22.5" customHeight="1">
      <c r="A8" s="83" t="s">
        <v>161</v>
      </c>
      <c r="B8" s="83"/>
      <c r="C8" s="83"/>
      <c r="D8" s="83"/>
      <c r="E8" s="83"/>
      <c r="F8" s="83"/>
      <c r="G8" s="61"/>
      <c r="H8" s="61"/>
      <c r="I8" s="61"/>
      <c r="J8" s="61"/>
      <c r="K8" s="61"/>
    </row>
    <row r="9" spans="1:11" s="63" customFormat="1" ht="22.5" customHeight="1">
      <c r="A9" s="83" t="s">
        <v>155</v>
      </c>
      <c r="B9" s="83"/>
      <c r="C9" s="83"/>
      <c r="D9" s="83"/>
      <c r="E9" s="83"/>
      <c r="F9" s="83"/>
      <c r="G9" s="61"/>
      <c r="H9" s="61"/>
      <c r="I9" s="61"/>
      <c r="J9" s="61"/>
      <c r="K9" s="61"/>
    </row>
    <row r="10" spans="1:11" s="63" customFormat="1" ht="137.25" customHeight="1" thickBot="1">
      <c r="A10" s="82" t="s">
        <v>154</v>
      </c>
      <c r="B10" s="82"/>
      <c r="C10" s="82"/>
      <c r="D10" s="82"/>
      <c r="E10" s="82"/>
      <c r="F10" s="82"/>
      <c r="G10" s="61"/>
      <c r="H10" s="61"/>
      <c r="I10" s="61"/>
      <c r="J10" s="61"/>
      <c r="K10" s="61"/>
    </row>
    <row r="11" spans="1:6" s="43" customFormat="1" ht="30" thickBot="1" thickTop="1">
      <c r="A11" s="87" t="s">
        <v>164</v>
      </c>
      <c r="B11" s="88"/>
      <c r="C11" s="68" t="s">
        <v>113</v>
      </c>
      <c r="D11" s="68" t="s">
        <v>114</v>
      </c>
      <c r="E11" s="68" t="s">
        <v>115</v>
      </c>
      <c r="F11" s="69" t="s">
        <v>116</v>
      </c>
    </row>
    <row r="12" spans="1:6" s="15" customFormat="1" ht="21.75" thickTop="1">
      <c r="A12" s="64" t="s">
        <v>1</v>
      </c>
      <c r="B12" s="26"/>
      <c r="C12" s="14"/>
      <c r="D12" s="14"/>
      <c r="E12" s="14"/>
      <c r="F12" s="47"/>
    </row>
    <row r="13" spans="1:6" s="17" customFormat="1" ht="21">
      <c r="A13" s="70" t="s">
        <v>2</v>
      </c>
      <c r="B13" s="16"/>
      <c r="C13" s="16">
        <v>0.16</v>
      </c>
      <c r="D13" s="16">
        <v>0.16</v>
      </c>
      <c r="E13" s="16">
        <v>0.16</v>
      </c>
      <c r="F13" s="48">
        <v>0.16</v>
      </c>
    </row>
    <row r="14" spans="1:6" s="17" customFormat="1" ht="21">
      <c r="A14" s="70" t="s">
        <v>90</v>
      </c>
      <c r="B14" s="16"/>
      <c r="C14" s="16">
        <v>0.22</v>
      </c>
      <c r="D14" s="16">
        <v>0.22</v>
      </c>
      <c r="E14" s="16">
        <v>0.22</v>
      </c>
      <c r="F14" s="48">
        <v>0.22</v>
      </c>
    </row>
    <row r="15" spans="1:6" s="4" customFormat="1" ht="21">
      <c r="A15" s="71" t="s">
        <v>68</v>
      </c>
      <c r="B15" s="1">
        <v>45000</v>
      </c>
      <c r="D15" s="1" t="s">
        <v>0</v>
      </c>
      <c r="E15" s="1" t="s">
        <v>0</v>
      </c>
      <c r="F15" s="49" t="s">
        <v>0</v>
      </c>
    </row>
    <row r="16" spans="1:6" s="4" customFormat="1" ht="21">
      <c r="A16" s="71" t="s">
        <v>67</v>
      </c>
      <c r="B16" s="1">
        <v>54000</v>
      </c>
      <c r="C16" s="1"/>
      <c r="D16" s="1"/>
      <c r="E16" s="1"/>
      <c r="F16" s="49"/>
    </row>
    <row r="17" spans="1:6" s="4" customFormat="1" ht="21">
      <c r="A17" s="71" t="s">
        <v>66</v>
      </c>
      <c r="B17" s="1">
        <v>106000</v>
      </c>
      <c r="C17" s="1"/>
      <c r="D17" s="1"/>
      <c r="E17" s="1"/>
      <c r="F17" s="49"/>
    </row>
    <row r="18" spans="1:6" s="4" customFormat="1" ht="21">
      <c r="A18" s="71" t="s">
        <v>69</v>
      </c>
      <c r="B18" s="1">
        <f>B16+B17</f>
        <v>160000</v>
      </c>
      <c r="C18" s="1"/>
      <c r="D18" s="1"/>
      <c r="E18" s="1"/>
      <c r="F18" s="49"/>
    </row>
    <row r="19" spans="1:6" s="4" customFormat="1" ht="21">
      <c r="A19" s="71" t="s">
        <v>124</v>
      </c>
      <c r="B19" s="24">
        <v>10</v>
      </c>
      <c r="C19" s="1"/>
      <c r="D19" s="1"/>
      <c r="E19" s="1"/>
      <c r="F19" s="49"/>
    </row>
    <row r="20" spans="1:6" s="4" customFormat="1" ht="21">
      <c r="A20" s="71" t="s">
        <v>70</v>
      </c>
      <c r="B20" s="1">
        <f>B19*B15</f>
        <v>450000</v>
      </c>
      <c r="C20" s="1"/>
      <c r="D20" s="1"/>
      <c r="E20" s="1"/>
      <c r="F20" s="49"/>
    </row>
    <row r="21" spans="1:6" s="4" customFormat="1" ht="21">
      <c r="A21" s="71" t="s">
        <v>99</v>
      </c>
      <c r="B21" s="1">
        <f>SUM(C21:F21)</f>
        <v>0</v>
      </c>
      <c r="C21" s="1">
        <v>0</v>
      </c>
      <c r="D21" s="1">
        <v>0</v>
      </c>
      <c r="E21" s="1">
        <v>0</v>
      </c>
      <c r="F21" s="49">
        <v>0</v>
      </c>
    </row>
    <row r="22" spans="1:6" s="4" customFormat="1" ht="21">
      <c r="A22" s="71" t="s">
        <v>104</v>
      </c>
      <c r="B22" s="1">
        <f>SUM(C22:F22)</f>
        <v>35000</v>
      </c>
      <c r="C22" s="1">
        <v>35000</v>
      </c>
      <c r="D22" s="1">
        <v>0</v>
      </c>
      <c r="E22" s="1">
        <v>0</v>
      </c>
      <c r="F22" s="49">
        <v>0</v>
      </c>
    </row>
    <row r="23" spans="1:6" s="4" customFormat="1" ht="21">
      <c r="A23" s="71"/>
      <c r="B23" s="1"/>
      <c r="C23" s="1"/>
      <c r="D23" s="1"/>
      <c r="E23" s="1"/>
      <c r="F23" s="49"/>
    </row>
    <row r="24" spans="1:6" s="19" customFormat="1" ht="21">
      <c r="A24" s="71" t="s">
        <v>92</v>
      </c>
      <c r="B24" s="20">
        <f>SUM(C24:F24)</f>
        <v>1</v>
      </c>
      <c r="C24" s="16">
        <v>0.15</v>
      </c>
      <c r="D24" s="41">
        <v>0.2</v>
      </c>
      <c r="E24" s="41">
        <v>0.25</v>
      </c>
      <c r="F24" s="48">
        <v>0.4</v>
      </c>
    </row>
    <row r="25" spans="1:6" s="19" customFormat="1" ht="21">
      <c r="A25" s="71" t="s">
        <v>141</v>
      </c>
      <c r="B25" s="20">
        <f>SUM(C25:F25)</f>
        <v>1</v>
      </c>
      <c r="C25" s="16">
        <f>C170</f>
        <v>0.5411210733375307</v>
      </c>
      <c r="D25" s="16">
        <f>D170</f>
        <v>0.22955672717854414</v>
      </c>
      <c r="E25" s="16">
        <f>E170</f>
        <v>0.17786886265581048</v>
      </c>
      <c r="F25" s="48">
        <f>F170</f>
        <v>0.051453336828114746</v>
      </c>
    </row>
    <row r="26" spans="1:6" s="4" customFormat="1" ht="21">
      <c r="A26" s="71" t="s">
        <v>151</v>
      </c>
      <c r="B26" s="24">
        <v>8.7</v>
      </c>
      <c r="C26" s="24">
        <f>(1+C13)*B26</f>
        <v>10.091999999999999</v>
      </c>
      <c r="D26" s="24">
        <f>(1+D13)*C26</f>
        <v>11.706719999999997</v>
      </c>
      <c r="E26" s="24">
        <f>(1+E13)*D26</f>
        <v>13.579795199999996</v>
      </c>
      <c r="F26" s="50">
        <f>(1+F13)*E26</f>
        <v>15.752562431999994</v>
      </c>
    </row>
    <row r="27" spans="1:6" s="4" customFormat="1" ht="21">
      <c r="A27" s="71" t="s">
        <v>143</v>
      </c>
      <c r="B27" s="2">
        <f>SUM(C27:F27)</f>
        <v>160000</v>
      </c>
      <c r="C27" s="1">
        <f>C24*$B$18</f>
        <v>24000</v>
      </c>
      <c r="D27" s="1">
        <f>D24*$B$18</f>
        <v>32000</v>
      </c>
      <c r="E27" s="1">
        <f>E24*$B$18</f>
        <v>40000</v>
      </c>
      <c r="F27" s="49">
        <f>F24*$B$18</f>
        <v>64000</v>
      </c>
    </row>
    <row r="28" spans="1:6" s="4" customFormat="1" ht="21">
      <c r="A28" s="71" t="s">
        <v>144</v>
      </c>
      <c r="B28" s="2">
        <f>SUM(C28:F28)</f>
        <v>2168178.843647999</v>
      </c>
      <c r="C28" s="1">
        <f>C27*C26</f>
        <v>242207.99999999997</v>
      </c>
      <c r="D28" s="1">
        <f>D27*D26</f>
        <v>374615.0399999999</v>
      </c>
      <c r="E28" s="1">
        <f>E27*E26</f>
        <v>543191.8079999998</v>
      </c>
      <c r="F28" s="49">
        <f>F27*F26</f>
        <v>1008163.9956479996</v>
      </c>
    </row>
    <row r="29" spans="1:6" s="4" customFormat="1" ht="21">
      <c r="A29" s="71"/>
      <c r="B29" s="2"/>
      <c r="C29" s="1"/>
      <c r="D29" s="1"/>
      <c r="E29" s="1"/>
      <c r="F29" s="49"/>
    </row>
    <row r="30" spans="1:6" s="4" customFormat="1" ht="21">
      <c r="A30" s="64" t="s">
        <v>148</v>
      </c>
      <c r="B30" s="2"/>
      <c r="C30" s="1"/>
      <c r="D30" s="1"/>
      <c r="E30" s="1"/>
      <c r="F30" s="49"/>
    </row>
    <row r="31" spans="1:6" s="19" customFormat="1" ht="21">
      <c r="A31" s="71" t="s">
        <v>142</v>
      </c>
      <c r="B31" s="2">
        <f>SUM(C31:F31)</f>
        <v>242207.99999999997</v>
      </c>
      <c r="C31" s="1">
        <f>$C$28*C25</f>
        <v>131063.85293093661</v>
      </c>
      <c r="D31" s="1">
        <f>$C$28*D25</f>
        <v>55600.475776460815</v>
      </c>
      <c r="E31" s="1">
        <f>$C$28*E25</f>
        <v>43081.26148613854</v>
      </c>
      <c r="F31" s="49">
        <f>$C$28*F25</f>
        <v>12462.409806464015</v>
      </c>
    </row>
    <row r="32" spans="1:6" s="19" customFormat="1" ht="21">
      <c r="A32" s="71" t="s">
        <v>145</v>
      </c>
      <c r="B32" s="2">
        <f>SUM(C32:F32)</f>
        <v>374615.03999999986</v>
      </c>
      <c r="C32" s="1">
        <v>0</v>
      </c>
      <c r="D32" s="1">
        <f>$D$28*(D25+C25)</f>
        <v>288707.4950674413</v>
      </c>
      <c r="E32" s="1">
        <f>$D$28*E25</f>
        <v>66632.35109856093</v>
      </c>
      <c r="F32" s="49">
        <f>$D$28*F25</f>
        <v>19275.193833997673</v>
      </c>
    </row>
    <row r="33" spans="1:6" s="19" customFormat="1" ht="21">
      <c r="A33" s="71" t="s">
        <v>146</v>
      </c>
      <c r="B33" s="2">
        <f>SUM(C33:F33)</f>
        <v>543191.8079999998</v>
      </c>
      <c r="C33" s="1">
        <v>0</v>
      </c>
      <c r="D33" s="1">
        <v>0</v>
      </c>
      <c r="E33" s="1">
        <f>$E$28*(E25+D25+C25)</f>
        <v>515242.7769407032</v>
      </c>
      <c r="F33" s="49">
        <f>$E$28*F25</f>
        <v>27949.031059296627</v>
      </c>
    </row>
    <row r="34" spans="1:6" s="19" customFormat="1" ht="21">
      <c r="A34" s="71" t="s">
        <v>147</v>
      </c>
      <c r="B34" s="2">
        <f>SUM(C34:F34)</f>
        <v>1008163.9956479996</v>
      </c>
      <c r="C34" s="1">
        <v>0</v>
      </c>
      <c r="D34" s="1">
        <v>0</v>
      </c>
      <c r="E34" s="1"/>
      <c r="F34" s="49">
        <f>$F$28*(F25+E25+D25+C25)</f>
        <v>1008163.9956479996</v>
      </c>
    </row>
    <row r="35" spans="1:6" s="19" customFormat="1" ht="21">
      <c r="A35" s="71"/>
      <c r="B35" s="2">
        <f>SUM(C35:F35)</f>
        <v>2168178.843647999</v>
      </c>
      <c r="C35" s="2">
        <f>SUM(C31:C34)</f>
        <v>131063.85293093661</v>
      </c>
      <c r="D35" s="2">
        <f>SUM(D31:D34)</f>
        <v>344307.97084390215</v>
      </c>
      <c r="E35" s="2">
        <f>SUM(E31:E34)</f>
        <v>624956.3895254027</v>
      </c>
      <c r="F35" s="51">
        <f>SUM(F31:F34)</f>
        <v>1067850.6303477578</v>
      </c>
    </row>
    <row r="36" spans="1:6" s="19" customFormat="1" ht="21">
      <c r="A36" s="71"/>
      <c r="B36" s="2"/>
      <c r="C36" s="2"/>
      <c r="D36" s="2"/>
      <c r="E36" s="2"/>
      <c r="F36" s="51"/>
    </row>
    <row r="37" spans="1:6" s="4" customFormat="1" ht="21">
      <c r="A37" s="64" t="s">
        <v>149</v>
      </c>
      <c r="B37" s="2"/>
      <c r="C37" s="1"/>
      <c r="D37" s="1"/>
      <c r="E37" s="1"/>
      <c r="F37" s="49"/>
    </row>
    <row r="38" spans="1:6" s="19" customFormat="1" ht="21">
      <c r="A38" s="71" t="s">
        <v>142</v>
      </c>
      <c r="B38" s="20">
        <f>SUM(C38:F38)</f>
        <v>0.11171034193493039</v>
      </c>
      <c r="C38" s="16">
        <f aca="true" t="shared" si="0" ref="C38:F42">C31/$B$35</f>
        <v>0.0604488201307321</v>
      </c>
      <c r="D38" s="16">
        <f t="shared" si="0"/>
        <v>0.025643860486578695</v>
      </c>
      <c r="E38" s="16">
        <f t="shared" si="0"/>
        <v>0.01986979146685776</v>
      </c>
      <c r="F38" s="48">
        <f t="shared" si="0"/>
        <v>0.005747869850761845</v>
      </c>
    </row>
    <row r="39" spans="1:6" s="19" customFormat="1" ht="21">
      <c r="A39" s="71" t="s">
        <v>145</v>
      </c>
      <c r="B39" s="20">
        <f>SUM(C39:F39)</f>
        <v>0.17277866219269233</v>
      </c>
      <c r="C39" s="16">
        <f t="shared" si="0"/>
        <v>0</v>
      </c>
      <c r="D39" s="16">
        <f t="shared" si="0"/>
        <v>0.13315667935477402</v>
      </c>
      <c r="E39" s="16">
        <f t="shared" si="0"/>
        <v>0.030731944135406662</v>
      </c>
      <c r="F39" s="48">
        <f t="shared" si="0"/>
        <v>0.008890038702511652</v>
      </c>
    </row>
    <row r="40" spans="1:6" s="19" customFormat="1" ht="21">
      <c r="A40" s="71" t="s">
        <v>146</v>
      </c>
      <c r="B40" s="20">
        <f>SUM(C40:F40)</f>
        <v>0.25052906017940385</v>
      </c>
      <c r="C40" s="16">
        <f t="shared" si="0"/>
        <v>0</v>
      </c>
      <c r="D40" s="16">
        <f t="shared" si="0"/>
        <v>0</v>
      </c>
      <c r="E40" s="16">
        <f t="shared" si="0"/>
        <v>0.23763850406076195</v>
      </c>
      <c r="F40" s="48">
        <f t="shared" si="0"/>
        <v>0.012890556118641896</v>
      </c>
    </row>
    <row r="41" spans="1:6" s="19" customFormat="1" ht="21">
      <c r="A41" s="71" t="s">
        <v>147</v>
      </c>
      <c r="B41" s="20">
        <f>SUM(C41:F41)</f>
        <v>0.46498193569297347</v>
      </c>
      <c r="C41" s="16">
        <f t="shared" si="0"/>
        <v>0</v>
      </c>
      <c r="D41" s="16">
        <f t="shared" si="0"/>
        <v>0</v>
      </c>
      <c r="E41" s="16">
        <f t="shared" si="0"/>
        <v>0</v>
      </c>
      <c r="F41" s="48">
        <f t="shared" si="0"/>
        <v>0.46498193569297347</v>
      </c>
    </row>
    <row r="42" spans="1:6" s="19" customFormat="1" ht="21">
      <c r="A42" s="72"/>
      <c r="B42" s="20">
        <f>SUM(C42:F42)</f>
        <v>1</v>
      </c>
      <c r="C42" s="20">
        <f t="shared" si="0"/>
        <v>0.0604488201307321</v>
      </c>
      <c r="D42" s="20">
        <f t="shared" si="0"/>
        <v>0.1588005398413527</v>
      </c>
      <c r="E42" s="20">
        <f t="shared" si="0"/>
        <v>0.28824023966302637</v>
      </c>
      <c r="F42" s="52">
        <f t="shared" si="0"/>
        <v>0.49251040036488886</v>
      </c>
    </row>
    <row r="43" spans="1:6" s="4" customFormat="1" ht="21">
      <c r="A43" s="64" t="s">
        <v>150</v>
      </c>
      <c r="B43" s="2"/>
      <c r="C43" s="1"/>
      <c r="D43" s="1"/>
      <c r="E43" s="1"/>
      <c r="F43" s="49"/>
    </row>
    <row r="44" spans="1:6" s="19" customFormat="1" ht="21">
      <c r="A44" s="71" t="s">
        <v>142</v>
      </c>
      <c r="B44" s="20">
        <f>SUM(C44:F44)</f>
        <v>1</v>
      </c>
      <c r="C44" s="16">
        <f aca="true" t="shared" si="1" ref="C44:F47">C31/$B31</f>
        <v>0.5411210733375307</v>
      </c>
      <c r="D44" s="16">
        <f t="shared" si="1"/>
        <v>0.22955672717854414</v>
      </c>
      <c r="E44" s="16">
        <f t="shared" si="1"/>
        <v>0.17786886265581048</v>
      </c>
      <c r="F44" s="48">
        <f t="shared" si="1"/>
        <v>0.051453336828114746</v>
      </c>
    </row>
    <row r="45" spans="1:6" s="19" customFormat="1" ht="21">
      <c r="A45" s="71" t="s">
        <v>145</v>
      </c>
      <c r="B45" s="20">
        <f>SUM(C45:F45)</f>
        <v>1.0000000000000002</v>
      </c>
      <c r="C45" s="16">
        <f t="shared" si="1"/>
        <v>0</v>
      </c>
      <c r="D45" s="16">
        <f t="shared" si="1"/>
        <v>0.7706778005160749</v>
      </c>
      <c r="E45" s="16">
        <f t="shared" si="1"/>
        <v>0.1778688626558105</v>
      </c>
      <c r="F45" s="48">
        <f t="shared" si="1"/>
        <v>0.05145333682811475</v>
      </c>
    </row>
    <row r="46" spans="1:6" s="19" customFormat="1" ht="21">
      <c r="A46" s="71" t="s">
        <v>146</v>
      </c>
      <c r="B46" s="20">
        <f>SUM(C46:F46)</f>
        <v>1</v>
      </c>
      <c r="C46" s="16">
        <f t="shared" si="1"/>
        <v>0</v>
      </c>
      <c r="D46" s="16">
        <f t="shared" si="1"/>
        <v>0</v>
      </c>
      <c r="E46" s="16">
        <f t="shared" si="1"/>
        <v>0.9485466631718853</v>
      </c>
      <c r="F46" s="48">
        <f t="shared" si="1"/>
        <v>0.051453336828114746</v>
      </c>
    </row>
    <row r="47" spans="1:6" s="19" customFormat="1" ht="21">
      <c r="A47" s="71" t="s">
        <v>147</v>
      </c>
      <c r="B47" s="20">
        <f>SUM(C47:F47)</f>
        <v>1</v>
      </c>
      <c r="C47" s="16">
        <f t="shared" si="1"/>
        <v>0</v>
      </c>
      <c r="D47" s="16">
        <f t="shared" si="1"/>
        <v>0</v>
      </c>
      <c r="E47" s="16">
        <f t="shared" si="1"/>
        <v>0</v>
      </c>
      <c r="F47" s="48">
        <f t="shared" si="1"/>
        <v>1</v>
      </c>
    </row>
    <row r="48" spans="1:6" s="19" customFormat="1" ht="21">
      <c r="A48" s="72" t="s">
        <v>27</v>
      </c>
      <c r="B48" s="20">
        <f>SUM(C48:F48)</f>
        <v>2.144573714733943E-07</v>
      </c>
      <c r="C48" s="20">
        <f>C41/$B$35</f>
        <v>0</v>
      </c>
      <c r="D48" s="20">
        <f>D41/$B$35</f>
        <v>0</v>
      </c>
      <c r="E48" s="20">
        <f>E41/$B$35</f>
        <v>0</v>
      </c>
      <c r="F48" s="52">
        <f>F41/$B$35</f>
        <v>2.144573714733943E-07</v>
      </c>
    </row>
    <row r="49" spans="1:6" s="19" customFormat="1" ht="21">
      <c r="A49" s="72"/>
      <c r="B49" s="20"/>
      <c r="C49" s="20"/>
      <c r="D49" s="20"/>
      <c r="E49" s="20"/>
      <c r="F49" s="52"/>
    </row>
    <row r="50" spans="1:6" s="18" customFormat="1" ht="21">
      <c r="A50" s="65" t="s">
        <v>109</v>
      </c>
      <c r="B50" s="1"/>
      <c r="C50" s="20"/>
      <c r="D50" s="20"/>
      <c r="E50" s="20"/>
      <c r="F50" s="52"/>
    </row>
    <row r="51" spans="1:6" s="4" customFormat="1" ht="21">
      <c r="A51" s="71" t="s">
        <v>140</v>
      </c>
      <c r="B51" s="24">
        <f>B125/B18</f>
        <v>5.2232486264</v>
      </c>
      <c r="C51" s="1"/>
      <c r="D51" s="1"/>
      <c r="E51" s="1"/>
      <c r="F51" s="49"/>
    </row>
    <row r="52" spans="1:6" s="4" customFormat="1" ht="21">
      <c r="A52" s="71" t="s">
        <v>105</v>
      </c>
      <c r="B52" s="24">
        <f>B20/B18</f>
        <v>2.8125</v>
      </c>
      <c r="C52" s="1"/>
      <c r="D52" s="1"/>
      <c r="E52" s="1"/>
      <c r="F52" s="49"/>
    </row>
    <row r="53" spans="1:6" s="4" customFormat="1" ht="42">
      <c r="A53" s="73" t="s">
        <v>107</v>
      </c>
      <c r="B53" s="24">
        <f>(B160+B161+B159)/B18</f>
        <v>0.365627403848</v>
      </c>
      <c r="C53" s="1"/>
      <c r="D53" s="1"/>
      <c r="E53" s="1"/>
      <c r="F53" s="49"/>
    </row>
    <row r="54" spans="1:6" s="4" customFormat="1" ht="21">
      <c r="A54" s="73" t="s">
        <v>126</v>
      </c>
      <c r="B54" s="24">
        <f>B199/B18</f>
        <v>0</v>
      </c>
      <c r="C54" s="1"/>
      <c r="D54" s="1"/>
      <c r="E54" s="1"/>
      <c r="F54" s="49"/>
    </row>
    <row r="55" spans="1:6" s="18" customFormat="1" ht="21">
      <c r="A55" s="74" t="s">
        <v>108</v>
      </c>
      <c r="B55" s="46">
        <f>B51+B52+B53+B54</f>
        <v>8.401376030248</v>
      </c>
      <c r="C55" s="2"/>
      <c r="D55" s="2"/>
      <c r="E55" s="2"/>
      <c r="F55" s="51"/>
    </row>
    <row r="56" spans="1:6" s="4" customFormat="1" ht="21">
      <c r="A56" s="71"/>
      <c r="B56" s="1"/>
      <c r="C56" s="1"/>
      <c r="D56" s="1"/>
      <c r="E56" s="1"/>
      <c r="F56" s="49"/>
    </row>
    <row r="57" spans="1:6" s="4" customFormat="1" ht="21">
      <c r="A57" s="71" t="s">
        <v>106</v>
      </c>
      <c r="B57" s="24">
        <f>B173/B18</f>
        <v>13.551117772799994</v>
      </c>
      <c r="C57" s="1"/>
      <c r="D57" s="1"/>
      <c r="E57" s="1"/>
      <c r="F57" s="49"/>
    </row>
    <row r="58" spans="1:6" s="4" customFormat="1" ht="21">
      <c r="A58" s="71" t="s">
        <v>132</v>
      </c>
      <c r="B58" s="24">
        <f>B57-B55</f>
        <v>5.149741742551994</v>
      </c>
      <c r="C58" s="1"/>
      <c r="D58" s="1"/>
      <c r="E58" s="1"/>
      <c r="F58" s="49"/>
    </row>
    <row r="59" spans="1:6" s="4" customFormat="1" ht="21">
      <c r="A59" s="71" t="s">
        <v>133</v>
      </c>
      <c r="B59" s="16">
        <f>B58/B55</f>
        <v>0.612964081599378</v>
      </c>
      <c r="C59" s="1"/>
      <c r="D59" s="1"/>
      <c r="E59" s="1"/>
      <c r="F59" s="49"/>
    </row>
    <row r="60" spans="1:6" s="4" customFormat="1" ht="21">
      <c r="A60" s="71"/>
      <c r="B60" s="1"/>
      <c r="C60" s="1"/>
      <c r="D60" s="1"/>
      <c r="E60" s="1"/>
      <c r="F60" s="49"/>
    </row>
    <row r="61" spans="1:6" s="4" customFormat="1" ht="21">
      <c r="A61" s="65" t="s">
        <v>134</v>
      </c>
      <c r="B61" s="3" t="s">
        <v>27</v>
      </c>
      <c r="C61" s="2"/>
      <c r="D61" s="2"/>
      <c r="E61" s="2"/>
      <c r="F61" s="51"/>
    </row>
    <row r="62" spans="1:6" s="4" customFormat="1" ht="21">
      <c r="A62" s="71" t="s">
        <v>129</v>
      </c>
      <c r="B62" s="2">
        <f aca="true" t="shared" si="2" ref="B62:B81">SUM(C62:F62)</f>
        <v>2600</v>
      </c>
      <c r="C62" s="1">
        <v>2600</v>
      </c>
      <c r="D62" s="1">
        <v>0</v>
      </c>
      <c r="E62" s="1">
        <v>0</v>
      </c>
      <c r="F62" s="49">
        <v>0</v>
      </c>
    </row>
    <row r="63" spans="1:6" s="4" customFormat="1" ht="21">
      <c r="A63" s="71" t="s">
        <v>71</v>
      </c>
      <c r="B63" s="2">
        <f t="shared" si="2"/>
        <v>16000</v>
      </c>
      <c r="C63" s="1">
        <v>16000</v>
      </c>
      <c r="D63" s="1">
        <v>0</v>
      </c>
      <c r="E63" s="1">
        <v>0</v>
      </c>
      <c r="F63" s="49">
        <v>0</v>
      </c>
    </row>
    <row r="64" spans="1:6" s="4" customFormat="1" ht="21">
      <c r="A64" s="71" t="s">
        <v>72</v>
      </c>
      <c r="B64" s="2">
        <f t="shared" si="2"/>
        <v>108000</v>
      </c>
      <c r="C64" s="1">
        <v>99600</v>
      </c>
      <c r="D64" s="1">
        <v>8400</v>
      </c>
      <c r="E64" s="1">
        <v>0</v>
      </c>
      <c r="F64" s="49">
        <v>0</v>
      </c>
    </row>
    <row r="65" spans="1:6" s="4" customFormat="1" ht="21">
      <c r="A65" s="71" t="s">
        <v>73</v>
      </c>
      <c r="B65" s="2">
        <f t="shared" si="2"/>
        <v>30000</v>
      </c>
      <c r="C65" s="1">
        <v>22500</v>
      </c>
      <c r="D65" s="1">
        <v>7500</v>
      </c>
      <c r="E65" s="1">
        <v>0</v>
      </c>
      <c r="F65" s="49">
        <v>0</v>
      </c>
    </row>
    <row r="66" spans="1:6" s="4" customFormat="1" ht="21">
      <c r="A66" s="71" t="s">
        <v>74</v>
      </c>
      <c r="B66" s="2">
        <f t="shared" si="2"/>
        <v>7600</v>
      </c>
      <c r="C66" s="1">
        <v>4750</v>
      </c>
      <c r="D66" s="1">
        <v>2850</v>
      </c>
      <c r="E66" s="1">
        <v>0</v>
      </c>
      <c r="F66" s="49">
        <v>0</v>
      </c>
    </row>
    <row r="67" spans="1:6" s="4" customFormat="1" ht="21">
      <c r="A67" s="71" t="s">
        <v>76</v>
      </c>
      <c r="B67" s="2">
        <f t="shared" si="2"/>
        <v>41000</v>
      </c>
      <c r="C67" s="1">
        <v>20500</v>
      </c>
      <c r="D67" s="1">
        <v>20500</v>
      </c>
      <c r="E67" s="1">
        <v>0</v>
      </c>
      <c r="F67" s="49">
        <v>0</v>
      </c>
    </row>
    <row r="68" spans="1:6" s="4" customFormat="1" ht="21">
      <c r="A68" s="71" t="s">
        <v>75</v>
      </c>
      <c r="B68" s="2">
        <f t="shared" si="2"/>
        <v>42000</v>
      </c>
      <c r="C68" s="1">
        <v>8400</v>
      </c>
      <c r="D68" s="1">
        <v>31500</v>
      </c>
      <c r="E68" s="1">
        <v>2100</v>
      </c>
      <c r="F68" s="49">
        <v>0</v>
      </c>
    </row>
    <row r="69" spans="1:6" s="4" customFormat="1" ht="21">
      <c r="A69" s="71" t="s">
        <v>77</v>
      </c>
      <c r="B69" s="2">
        <f t="shared" si="2"/>
        <v>50000</v>
      </c>
      <c r="C69" s="1">
        <v>0</v>
      </c>
      <c r="D69" s="1">
        <v>39600</v>
      </c>
      <c r="E69" s="1">
        <v>10400</v>
      </c>
      <c r="F69" s="49">
        <v>0</v>
      </c>
    </row>
    <row r="70" spans="1:6" s="4" customFormat="1" ht="21">
      <c r="A70" s="71" t="s">
        <v>78</v>
      </c>
      <c r="B70" s="2">
        <f t="shared" si="2"/>
        <v>11000</v>
      </c>
      <c r="C70" s="1">
        <v>0</v>
      </c>
      <c r="D70" s="1">
        <v>4900</v>
      </c>
      <c r="E70" s="1">
        <v>6100</v>
      </c>
      <c r="F70" s="49">
        <v>0</v>
      </c>
    </row>
    <row r="71" spans="1:6" s="4" customFormat="1" ht="21">
      <c r="A71" s="71" t="s">
        <v>79</v>
      </c>
      <c r="B71" s="2">
        <f t="shared" si="2"/>
        <v>5000</v>
      </c>
      <c r="C71" s="1">
        <v>0</v>
      </c>
      <c r="D71" s="1">
        <v>0</v>
      </c>
      <c r="E71" s="1">
        <v>3300</v>
      </c>
      <c r="F71" s="49">
        <v>1700</v>
      </c>
    </row>
    <row r="72" spans="1:6" s="4" customFormat="1" ht="21">
      <c r="A72" s="71" t="s">
        <v>89</v>
      </c>
      <c r="B72" s="2">
        <f t="shared" si="2"/>
        <v>53000</v>
      </c>
      <c r="C72" s="1">
        <v>10600</v>
      </c>
      <c r="D72" s="1">
        <v>19600</v>
      </c>
      <c r="E72" s="1">
        <v>22800</v>
      </c>
      <c r="F72" s="49">
        <v>0</v>
      </c>
    </row>
    <row r="73" spans="1:6" s="4" customFormat="1" ht="21">
      <c r="A73" s="71" t="s">
        <v>80</v>
      </c>
      <c r="B73" s="2">
        <f t="shared" si="2"/>
        <v>18000</v>
      </c>
      <c r="C73" s="1">
        <v>0</v>
      </c>
      <c r="D73" s="1">
        <v>0</v>
      </c>
      <c r="E73" s="1">
        <v>13500</v>
      </c>
      <c r="F73" s="49">
        <v>4500</v>
      </c>
    </row>
    <row r="74" spans="1:6" s="4" customFormat="1" ht="21">
      <c r="A74" s="71" t="s">
        <v>81</v>
      </c>
      <c r="B74" s="2">
        <f t="shared" si="2"/>
        <v>13000</v>
      </c>
      <c r="C74" s="1">
        <v>0</v>
      </c>
      <c r="D74" s="1">
        <v>3250</v>
      </c>
      <c r="E74" s="1">
        <v>9750</v>
      </c>
      <c r="F74" s="49">
        <v>0</v>
      </c>
    </row>
    <row r="75" spans="1:6" s="4" customFormat="1" ht="21">
      <c r="A75" s="71" t="s">
        <v>82</v>
      </c>
      <c r="B75" s="2">
        <f t="shared" si="2"/>
        <v>35000</v>
      </c>
      <c r="C75" s="1">
        <v>0</v>
      </c>
      <c r="D75" s="1">
        <v>8750</v>
      </c>
      <c r="E75" s="1">
        <v>21000</v>
      </c>
      <c r="F75" s="49">
        <v>5250</v>
      </c>
    </row>
    <row r="76" spans="1:6" s="4" customFormat="1" ht="21">
      <c r="A76" s="71" t="s">
        <v>83</v>
      </c>
      <c r="B76" s="2">
        <f t="shared" si="2"/>
        <v>76000</v>
      </c>
      <c r="C76" s="1">
        <v>0</v>
      </c>
      <c r="D76" s="1">
        <v>30400</v>
      </c>
      <c r="E76" s="1">
        <v>28500</v>
      </c>
      <c r="F76" s="49">
        <v>17100</v>
      </c>
    </row>
    <row r="77" spans="1:6" s="4" customFormat="1" ht="21">
      <c r="A77" s="71" t="s">
        <v>84</v>
      </c>
      <c r="B77" s="2">
        <f t="shared" si="2"/>
        <v>10000</v>
      </c>
      <c r="C77" s="1">
        <v>2850</v>
      </c>
      <c r="D77" s="1">
        <v>2850</v>
      </c>
      <c r="E77" s="1">
        <v>2850</v>
      </c>
      <c r="F77" s="49">
        <v>1450</v>
      </c>
    </row>
    <row r="78" spans="1:6" s="4" customFormat="1" ht="21">
      <c r="A78" s="72" t="s">
        <v>110</v>
      </c>
      <c r="B78" s="2">
        <f t="shared" si="2"/>
        <v>518200</v>
      </c>
      <c r="C78" s="2">
        <f>SUM(C62:C77)</f>
        <v>187800</v>
      </c>
      <c r="D78" s="2">
        <f>SUM(D62:D77)</f>
        <v>180100</v>
      </c>
      <c r="E78" s="2">
        <f>SUM(E62:E77)</f>
        <v>120300</v>
      </c>
      <c r="F78" s="51">
        <f>SUM(F62:F77)</f>
        <v>30000</v>
      </c>
    </row>
    <row r="79" spans="1:6" s="4" customFormat="1" ht="21">
      <c r="A79" s="71" t="s">
        <v>85</v>
      </c>
      <c r="B79" s="2">
        <f t="shared" si="2"/>
        <v>20728</v>
      </c>
      <c r="C79" s="1">
        <f>0.04*C78</f>
        <v>7512</v>
      </c>
      <c r="D79" s="1">
        <f>0.04*D78</f>
        <v>7204</v>
      </c>
      <c r="E79" s="1">
        <f>0.04*E78</f>
        <v>4812</v>
      </c>
      <c r="F79" s="49">
        <f>0.04*F78</f>
        <v>1200</v>
      </c>
    </row>
    <row r="80" spans="1:6" s="4" customFormat="1" ht="21">
      <c r="A80" s="71" t="s">
        <v>86</v>
      </c>
      <c r="B80" s="2">
        <f t="shared" si="2"/>
        <v>77730</v>
      </c>
      <c r="C80" s="1">
        <f>0.15*C78</f>
        <v>28170</v>
      </c>
      <c r="D80" s="1">
        <f>0.15*D78</f>
        <v>27015</v>
      </c>
      <c r="E80" s="1">
        <f>0.15*E78</f>
        <v>18045</v>
      </c>
      <c r="F80" s="49">
        <f>0.15*F78</f>
        <v>4500</v>
      </c>
    </row>
    <row r="81" spans="1:6" s="4" customFormat="1" ht="21">
      <c r="A81" s="72" t="s">
        <v>88</v>
      </c>
      <c r="B81" s="2">
        <f t="shared" si="2"/>
        <v>616658</v>
      </c>
      <c r="C81" s="2">
        <f>SUM(C78:C80)</f>
        <v>223482</v>
      </c>
      <c r="D81" s="2">
        <f>SUM(D78:D80)</f>
        <v>214319</v>
      </c>
      <c r="E81" s="2">
        <f>SUM(E78:E80)</f>
        <v>143157</v>
      </c>
      <c r="F81" s="51">
        <f>SUM(F78:F80)</f>
        <v>35700</v>
      </c>
    </row>
    <row r="82" spans="1:6" s="4" customFormat="1" ht="21">
      <c r="A82" s="71"/>
      <c r="B82" s="1"/>
      <c r="C82" s="1"/>
      <c r="D82" s="1"/>
      <c r="E82" s="1"/>
      <c r="F82" s="49"/>
    </row>
    <row r="83" spans="1:6" s="4" customFormat="1" ht="21">
      <c r="A83" s="65" t="s">
        <v>135</v>
      </c>
      <c r="B83" s="3" t="s">
        <v>27</v>
      </c>
      <c r="C83" s="2"/>
      <c r="D83" s="2"/>
      <c r="E83" s="2"/>
      <c r="F83" s="51"/>
    </row>
    <row r="84" spans="1:6" s="4" customFormat="1" ht="21">
      <c r="A84" s="71" t="s">
        <v>129</v>
      </c>
      <c r="B84" s="20">
        <f aca="true" t="shared" si="3" ref="B84:B103">SUM(C84:F84)</f>
        <v>0.004216275471979606</v>
      </c>
      <c r="C84" s="16">
        <f aca="true" t="shared" si="4" ref="C84:F103">C62/$B$81</f>
        <v>0.004216275471979606</v>
      </c>
      <c r="D84" s="16">
        <f t="shared" si="4"/>
        <v>0</v>
      </c>
      <c r="E84" s="16">
        <f t="shared" si="4"/>
        <v>0</v>
      </c>
      <c r="F84" s="48">
        <f t="shared" si="4"/>
        <v>0</v>
      </c>
    </row>
    <row r="85" spans="1:6" s="4" customFormat="1" ht="21">
      <c r="A85" s="71" t="s">
        <v>71</v>
      </c>
      <c r="B85" s="20">
        <f t="shared" si="3"/>
        <v>0.025946310596797577</v>
      </c>
      <c r="C85" s="16">
        <f t="shared" si="4"/>
        <v>0.025946310596797577</v>
      </c>
      <c r="D85" s="16">
        <f t="shared" si="4"/>
        <v>0</v>
      </c>
      <c r="E85" s="16">
        <f t="shared" si="4"/>
        <v>0</v>
      </c>
      <c r="F85" s="48">
        <f t="shared" si="4"/>
        <v>0</v>
      </c>
    </row>
    <row r="86" spans="1:6" s="4" customFormat="1" ht="21">
      <c r="A86" s="71" t="s">
        <v>72</v>
      </c>
      <c r="B86" s="20">
        <f t="shared" si="3"/>
        <v>0.17513759652838365</v>
      </c>
      <c r="C86" s="16">
        <f t="shared" si="4"/>
        <v>0.16151578346506493</v>
      </c>
      <c r="D86" s="16">
        <f t="shared" si="4"/>
        <v>0.013621813063318727</v>
      </c>
      <c r="E86" s="16">
        <f t="shared" si="4"/>
        <v>0</v>
      </c>
      <c r="F86" s="48">
        <f t="shared" si="4"/>
        <v>0</v>
      </c>
    </row>
    <row r="87" spans="1:6" s="4" customFormat="1" ht="21">
      <c r="A87" s="71" t="s">
        <v>73</v>
      </c>
      <c r="B87" s="20">
        <f t="shared" si="3"/>
        <v>0.048649332368995456</v>
      </c>
      <c r="C87" s="16">
        <f t="shared" si="4"/>
        <v>0.03648699927674659</v>
      </c>
      <c r="D87" s="16">
        <f t="shared" si="4"/>
        <v>0.012162333092248864</v>
      </c>
      <c r="E87" s="16">
        <f t="shared" si="4"/>
        <v>0</v>
      </c>
      <c r="F87" s="48">
        <f t="shared" si="4"/>
        <v>0</v>
      </c>
    </row>
    <row r="88" spans="1:6" s="4" customFormat="1" ht="21">
      <c r="A88" s="71" t="s">
        <v>74</v>
      </c>
      <c r="B88" s="20">
        <f t="shared" si="3"/>
        <v>0.012324497533478848</v>
      </c>
      <c r="C88" s="16">
        <f t="shared" si="4"/>
        <v>0.007702810958424281</v>
      </c>
      <c r="D88" s="16">
        <f t="shared" si="4"/>
        <v>0.004621686575054568</v>
      </c>
      <c r="E88" s="16">
        <f t="shared" si="4"/>
        <v>0</v>
      </c>
      <c r="F88" s="48">
        <f t="shared" si="4"/>
        <v>0</v>
      </c>
    </row>
    <row r="89" spans="1:6" s="4" customFormat="1" ht="21">
      <c r="A89" s="71" t="s">
        <v>76</v>
      </c>
      <c r="B89" s="20">
        <f t="shared" si="3"/>
        <v>0.06648742090429378</v>
      </c>
      <c r="C89" s="16">
        <f t="shared" si="4"/>
        <v>0.03324371045214689</v>
      </c>
      <c r="D89" s="16">
        <f t="shared" si="4"/>
        <v>0.03324371045214689</v>
      </c>
      <c r="E89" s="16">
        <f t="shared" si="4"/>
        <v>0</v>
      </c>
      <c r="F89" s="48">
        <f t="shared" si="4"/>
        <v>0</v>
      </c>
    </row>
    <row r="90" spans="1:6" s="4" customFormat="1" ht="21">
      <c r="A90" s="71" t="s">
        <v>75</v>
      </c>
      <c r="B90" s="20">
        <f t="shared" si="3"/>
        <v>0.06810906531659364</v>
      </c>
      <c r="C90" s="16">
        <f t="shared" si="4"/>
        <v>0.013621813063318727</v>
      </c>
      <c r="D90" s="16">
        <f t="shared" si="4"/>
        <v>0.05108179898744523</v>
      </c>
      <c r="E90" s="16">
        <f t="shared" si="4"/>
        <v>0.0034054532658296817</v>
      </c>
      <c r="F90" s="48">
        <f t="shared" si="4"/>
        <v>0</v>
      </c>
    </row>
    <row r="91" spans="1:6" s="4" customFormat="1" ht="21">
      <c r="A91" s="71" t="s">
        <v>77</v>
      </c>
      <c r="B91" s="20">
        <f t="shared" si="3"/>
        <v>0.08108222061499243</v>
      </c>
      <c r="C91" s="16">
        <f t="shared" si="4"/>
        <v>0</v>
      </c>
      <c r="D91" s="16">
        <f t="shared" si="4"/>
        <v>0.064217118727074</v>
      </c>
      <c r="E91" s="16">
        <f t="shared" si="4"/>
        <v>0.016865101887918423</v>
      </c>
      <c r="F91" s="48">
        <f t="shared" si="4"/>
        <v>0</v>
      </c>
    </row>
    <row r="92" spans="1:6" s="4" customFormat="1" ht="21">
      <c r="A92" s="71" t="s">
        <v>78</v>
      </c>
      <c r="B92" s="20">
        <f t="shared" si="3"/>
        <v>0.017838088535298335</v>
      </c>
      <c r="C92" s="16">
        <f t="shared" si="4"/>
        <v>0</v>
      </c>
      <c r="D92" s="16">
        <f t="shared" si="4"/>
        <v>0.007946057620269257</v>
      </c>
      <c r="E92" s="16">
        <f t="shared" si="4"/>
        <v>0.009892030915029076</v>
      </c>
      <c r="F92" s="48">
        <f t="shared" si="4"/>
        <v>0</v>
      </c>
    </row>
    <row r="93" spans="1:6" s="4" customFormat="1" ht="21">
      <c r="A93" s="71" t="s">
        <v>79</v>
      </c>
      <c r="B93" s="20">
        <f t="shared" si="3"/>
        <v>0.008108222061499243</v>
      </c>
      <c r="C93" s="16">
        <f t="shared" si="4"/>
        <v>0</v>
      </c>
      <c r="D93" s="16">
        <f t="shared" si="4"/>
        <v>0</v>
      </c>
      <c r="E93" s="16">
        <f t="shared" si="4"/>
        <v>0.0053514265605895004</v>
      </c>
      <c r="F93" s="48">
        <f t="shared" si="4"/>
        <v>0.0027567955009097423</v>
      </c>
    </row>
    <row r="94" spans="1:6" s="4" customFormat="1" ht="21">
      <c r="A94" s="71" t="s">
        <v>89</v>
      </c>
      <c r="B94" s="20">
        <f t="shared" si="3"/>
        <v>0.08594715385189197</v>
      </c>
      <c r="C94" s="16">
        <f t="shared" si="4"/>
        <v>0.017189430770378395</v>
      </c>
      <c r="D94" s="16">
        <f t="shared" si="4"/>
        <v>0.03178423048107703</v>
      </c>
      <c r="E94" s="16">
        <f t="shared" si="4"/>
        <v>0.036973492600436544</v>
      </c>
      <c r="F94" s="48">
        <f t="shared" si="4"/>
        <v>0</v>
      </c>
    </row>
    <row r="95" spans="1:6" s="4" customFormat="1" ht="21">
      <c r="A95" s="71" t="s">
        <v>80</v>
      </c>
      <c r="B95" s="20">
        <f t="shared" si="3"/>
        <v>0.029189599421397275</v>
      </c>
      <c r="C95" s="16">
        <f t="shared" si="4"/>
        <v>0</v>
      </c>
      <c r="D95" s="16">
        <f t="shared" si="4"/>
        <v>0</v>
      </c>
      <c r="E95" s="16">
        <f t="shared" si="4"/>
        <v>0.021892199566047956</v>
      </c>
      <c r="F95" s="48">
        <f t="shared" si="4"/>
        <v>0.007297399855349319</v>
      </c>
    </row>
    <row r="96" spans="1:6" s="4" customFormat="1" ht="21">
      <c r="A96" s="71" t="s">
        <v>81</v>
      </c>
      <c r="B96" s="20">
        <f t="shared" si="3"/>
        <v>0.02108137735989803</v>
      </c>
      <c r="C96" s="16">
        <f t="shared" si="4"/>
        <v>0</v>
      </c>
      <c r="D96" s="16">
        <f t="shared" si="4"/>
        <v>0.0052703443399745075</v>
      </c>
      <c r="E96" s="16">
        <f t="shared" si="4"/>
        <v>0.015811033019923523</v>
      </c>
      <c r="F96" s="48">
        <f t="shared" si="4"/>
        <v>0</v>
      </c>
    </row>
    <row r="97" spans="1:6" s="4" customFormat="1" ht="21">
      <c r="A97" s="71" t="s">
        <v>82</v>
      </c>
      <c r="B97" s="20">
        <f t="shared" si="3"/>
        <v>0.0567575544304947</v>
      </c>
      <c r="C97" s="16">
        <f t="shared" si="4"/>
        <v>0</v>
      </c>
      <c r="D97" s="16">
        <f t="shared" si="4"/>
        <v>0.014189388607623674</v>
      </c>
      <c r="E97" s="16">
        <f t="shared" si="4"/>
        <v>0.03405453265829682</v>
      </c>
      <c r="F97" s="48">
        <f t="shared" si="4"/>
        <v>0.008513633164574205</v>
      </c>
    </row>
    <row r="98" spans="1:6" s="4" customFormat="1" ht="21">
      <c r="A98" s="71" t="s">
        <v>83</v>
      </c>
      <c r="B98" s="20">
        <f t="shared" si="3"/>
        <v>0.12324497533478848</v>
      </c>
      <c r="C98" s="16">
        <f t="shared" si="4"/>
        <v>0</v>
      </c>
      <c r="D98" s="16">
        <f t="shared" si="4"/>
        <v>0.04929799013391539</v>
      </c>
      <c r="E98" s="16">
        <f t="shared" si="4"/>
        <v>0.046216865750545684</v>
      </c>
      <c r="F98" s="48">
        <f t="shared" si="4"/>
        <v>0.02773011945032741</v>
      </c>
    </row>
    <row r="99" spans="1:6" s="4" customFormat="1" ht="21">
      <c r="A99" s="71" t="s">
        <v>84</v>
      </c>
      <c r="B99" s="20">
        <f t="shared" si="3"/>
        <v>0.016216444122998483</v>
      </c>
      <c r="C99" s="16">
        <f t="shared" si="4"/>
        <v>0.004621686575054568</v>
      </c>
      <c r="D99" s="16">
        <f t="shared" si="4"/>
        <v>0.004621686575054568</v>
      </c>
      <c r="E99" s="16">
        <f t="shared" si="4"/>
        <v>0.004621686575054568</v>
      </c>
      <c r="F99" s="48">
        <f t="shared" si="4"/>
        <v>0.0023513843978347805</v>
      </c>
    </row>
    <row r="100" spans="1:6" s="18" customFormat="1" ht="21">
      <c r="A100" s="72" t="s">
        <v>110</v>
      </c>
      <c r="B100" s="20">
        <f t="shared" si="3"/>
        <v>0.8403361344537815</v>
      </c>
      <c r="C100" s="20">
        <f t="shared" si="4"/>
        <v>0.30454482062991156</v>
      </c>
      <c r="D100" s="20">
        <f t="shared" si="4"/>
        <v>0.29205815865520274</v>
      </c>
      <c r="E100" s="20">
        <f t="shared" si="4"/>
        <v>0.1950838227996718</v>
      </c>
      <c r="F100" s="52">
        <f t="shared" si="4"/>
        <v>0.048649332368995456</v>
      </c>
    </row>
    <row r="101" spans="1:6" s="4" customFormat="1" ht="21">
      <c r="A101" s="71" t="s">
        <v>85</v>
      </c>
      <c r="B101" s="20">
        <f t="shared" si="3"/>
        <v>0.03361344537815126</v>
      </c>
      <c r="C101" s="16">
        <f t="shared" si="4"/>
        <v>0.012181792825196462</v>
      </c>
      <c r="D101" s="16">
        <f t="shared" si="4"/>
        <v>0.011682326346208109</v>
      </c>
      <c r="E101" s="16">
        <f t="shared" si="4"/>
        <v>0.007803352911986871</v>
      </c>
      <c r="F101" s="48">
        <f t="shared" si="4"/>
        <v>0.0019459732947598183</v>
      </c>
    </row>
    <row r="102" spans="1:6" s="4" customFormat="1" ht="21">
      <c r="A102" s="71" t="s">
        <v>86</v>
      </c>
      <c r="B102" s="20">
        <f t="shared" si="3"/>
        <v>0.12605042016806722</v>
      </c>
      <c r="C102" s="16">
        <f t="shared" si="4"/>
        <v>0.04568172309448673</v>
      </c>
      <c r="D102" s="16">
        <f t="shared" si="4"/>
        <v>0.04380872379828041</v>
      </c>
      <c r="E102" s="16">
        <f t="shared" si="4"/>
        <v>0.029262573419950765</v>
      </c>
      <c r="F102" s="48">
        <f t="shared" si="4"/>
        <v>0.007297399855349319</v>
      </c>
    </row>
    <row r="103" spans="1:6" s="18" customFormat="1" ht="21">
      <c r="A103" s="72" t="s">
        <v>88</v>
      </c>
      <c r="B103" s="20">
        <f t="shared" si="3"/>
        <v>1</v>
      </c>
      <c r="C103" s="20">
        <f t="shared" si="4"/>
        <v>0.36240833654959476</v>
      </c>
      <c r="D103" s="20">
        <f t="shared" si="4"/>
        <v>0.34754920879969126</v>
      </c>
      <c r="E103" s="20">
        <f t="shared" si="4"/>
        <v>0.2321497491316094</v>
      </c>
      <c r="F103" s="52">
        <f t="shared" si="4"/>
        <v>0.057892705519104595</v>
      </c>
    </row>
    <row r="104" spans="1:6" s="4" customFormat="1" ht="21">
      <c r="A104" s="72"/>
      <c r="B104" s="42"/>
      <c r="C104" s="42"/>
      <c r="D104" s="42"/>
      <c r="E104" s="42"/>
      <c r="F104" s="53"/>
    </row>
    <row r="105" spans="1:6" s="4" customFormat="1" ht="21">
      <c r="A105" s="65" t="s">
        <v>136</v>
      </c>
      <c r="B105" s="3" t="s">
        <v>27</v>
      </c>
      <c r="C105" s="2"/>
      <c r="D105" s="2"/>
      <c r="E105" s="2"/>
      <c r="F105" s="51"/>
    </row>
    <row r="106" spans="1:6" s="4" customFormat="1" ht="21">
      <c r="A106" s="71" t="s">
        <v>129</v>
      </c>
      <c r="B106" s="2">
        <f aca="true" t="shared" si="5" ref="B106:B125">SUM(C106:F106)</f>
        <v>3016</v>
      </c>
      <c r="C106" s="1">
        <f aca="true" t="shared" si="6" ref="C106:C121">C62*(1+C$13)</f>
        <v>3016</v>
      </c>
      <c r="D106" s="1">
        <f aca="true" t="shared" si="7" ref="D106:D121">D62*(1+D$13)*(1+C$13)</f>
        <v>0</v>
      </c>
      <c r="E106" s="1">
        <f aca="true" t="shared" si="8" ref="E106:E121">E62*(1+E$13)*(1+D$13)*(1+C$13)</f>
        <v>0</v>
      </c>
      <c r="F106" s="49">
        <f aca="true" t="shared" si="9" ref="F106:F121">F62*(1+F$13)*(1+E$13)*(1+D$13)*(1+C$13)</f>
        <v>0</v>
      </c>
    </row>
    <row r="107" spans="1:6" s="4" customFormat="1" ht="21">
      <c r="A107" s="71" t="s">
        <v>71</v>
      </c>
      <c r="B107" s="2">
        <f t="shared" si="5"/>
        <v>18560</v>
      </c>
      <c r="C107" s="1">
        <f t="shared" si="6"/>
        <v>18560</v>
      </c>
      <c r="D107" s="1">
        <f t="shared" si="7"/>
        <v>0</v>
      </c>
      <c r="E107" s="1">
        <f t="shared" si="8"/>
        <v>0</v>
      </c>
      <c r="F107" s="49">
        <f t="shared" si="9"/>
        <v>0</v>
      </c>
    </row>
    <row r="108" spans="1:6" s="4" customFormat="1" ht="21">
      <c r="A108" s="71" t="s">
        <v>72</v>
      </c>
      <c r="B108" s="2">
        <f t="shared" si="5"/>
        <v>126839.03999999998</v>
      </c>
      <c r="C108" s="1">
        <f t="shared" si="6"/>
        <v>115535.99999999999</v>
      </c>
      <c r="D108" s="1">
        <f t="shared" si="7"/>
        <v>11303.039999999999</v>
      </c>
      <c r="E108" s="1">
        <f t="shared" si="8"/>
        <v>0</v>
      </c>
      <c r="F108" s="49">
        <f t="shared" si="9"/>
        <v>0</v>
      </c>
    </row>
    <row r="109" spans="1:6" s="4" customFormat="1" ht="21">
      <c r="A109" s="71" t="s">
        <v>73</v>
      </c>
      <c r="B109" s="2">
        <f t="shared" si="5"/>
        <v>36192</v>
      </c>
      <c r="C109" s="1">
        <f t="shared" si="6"/>
        <v>26100</v>
      </c>
      <c r="D109" s="1">
        <f t="shared" si="7"/>
        <v>10092</v>
      </c>
      <c r="E109" s="1">
        <f t="shared" si="8"/>
        <v>0</v>
      </c>
      <c r="F109" s="49">
        <f t="shared" si="9"/>
        <v>0</v>
      </c>
    </row>
    <row r="110" spans="1:6" s="4" customFormat="1" ht="21">
      <c r="A110" s="71" t="s">
        <v>74</v>
      </c>
      <c r="B110" s="2">
        <f t="shared" si="5"/>
        <v>9344.96</v>
      </c>
      <c r="C110" s="1">
        <f t="shared" si="6"/>
        <v>5510</v>
      </c>
      <c r="D110" s="1">
        <f t="shared" si="7"/>
        <v>3834.959999999999</v>
      </c>
      <c r="E110" s="1">
        <f t="shared" si="8"/>
        <v>0</v>
      </c>
      <c r="F110" s="49">
        <f t="shared" si="9"/>
        <v>0</v>
      </c>
    </row>
    <row r="111" spans="1:6" s="18" customFormat="1" ht="21">
      <c r="A111" s="71" t="s">
        <v>76</v>
      </c>
      <c r="B111" s="2">
        <f t="shared" si="5"/>
        <v>51364.8</v>
      </c>
      <c r="C111" s="1">
        <f t="shared" si="6"/>
        <v>23780</v>
      </c>
      <c r="D111" s="1">
        <f t="shared" si="7"/>
        <v>27584.8</v>
      </c>
      <c r="E111" s="1">
        <f t="shared" si="8"/>
        <v>0</v>
      </c>
      <c r="F111" s="49">
        <f t="shared" si="9"/>
        <v>0</v>
      </c>
    </row>
    <row r="112" spans="1:6" s="18" customFormat="1" ht="21">
      <c r="A112" s="71" t="s">
        <v>75</v>
      </c>
      <c r="B112" s="2">
        <f t="shared" si="5"/>
        <v>55408.281599999995</v>
      </c>
      <c r="C112" s="1">
        <f t="shared" si="6"/>
        <v>9744</v>
      </c>
      <c r="D112" s="1">
        <f t="shared" si="7"/>
        <v>42386.399999999994</v>
      </c>
      <c r="E112" s="1">
        <f t="shared" si="8"/>
        <v>3277.8815999999997</v>
      </c>
      <c r="F112" s="49">
        <f t="shared" si="9"/>
        <v>0</v>
      </c>
    </row>
    <row r="113" spans="1:6" s="18" customFormat="1" ht="21">
      <c r="A113" s="71" t="s">
        <v>77</v>
      </c>
      <c r="B113" s="2">
        <f t="shared" si="5"/>
        <v>69519.0784</v>
      </c>
      <c r="C113" s="1">
        <f t="shared" si="6"/>
        <v>0</v>
      </c>
      <c r="D113" s="1">
        <f t="shared" si="7"/>
        <v>53285.759999999995</v>
      </c>
      <c r="E113" s="1">
        <f t="shared" si="8"/>
        <v>16233.318399999998</v>
      </c>
      <c r="F113" s="49">
        <f t="shared" si="9"/>
        <v>0</v>
      </c>
    </row>
    <row r="114" spans="1:6" s="18" customFormat="1" ht="21">
      <c r="A114" s="71" t="s">
        <v>78</v>
      </c>
      <c r="B114" s="2">
        <f t="shared" si="5"/>
        <v>16114.905599999998</v>
      </c>
      <c r="C114" s="1">
        <f t="shared" si="6"/>
        <v>0</v>
      </c>
      <c r="D114" s="1">
        <f t="shared" si="7"/>
        <v>6593.44</v>
      </c>
      <c r="E114" s="1">
        <f t="shared" si="8"/>
        <v>9521.465599999998</v>
      </c>
      <c r="F114" s="49">
        <f t="shared" si="9"/>
        <v>0</v>
      </c>
    </row>
    <row r="115" spans="1:6" s="18" customFormat="1" ht="21">
      <c r="A115" s="71" t="s">
        <v>79</v>
      </c>
      <c r="B115" s="2">
        <f t="shared" si="5"/>
        <v>8229.043711999999</v>
      </c>
      <c r="C115" s="1">
        <f t="shared" si="6"/>
        <v>0</v>
      </c>
      <c r="D115" s="1">
        <f t="shared" si="7"/>
        <v>0</v>
      </c>
      <c r="E115" s="1">
        <f t="shared" si="8"/>
        <v>5150.956799999999</v>
      </c>
      <c r="F115" s="49">
        <f t="shared" si="9"/>
        <v>3078.086911999999</v>
      </c>
    </row>
    <row r="116" spans="1:6" s="18" customFormat="1" ht="21">
      <c r="A116" s="71" t="s">
        <v>89</v>
      </c>
      <c r="B116" s="2">
        <f t="shared" si="5"/>
        <v>74258.18879999997</v>
      </c>
      <c r="C116" s="1">
        <f t="shared" si="6"/>
        <v>12296</v>
      </c>
      <c r="D116" s="1">
        <f t="shared" si="7"/>
        <v>26373.76</v>
      </c>
      <c r="E116" s="1">
        <f t="shared" si="8"/>
        <v>35588.42879999999</v>
      </c>
      <c r="F116" s="49">
        <f t="shared" si="9"/>
        <v>0</v>
      </c>
    </row>
    <row r="117" spans="1:6" s="18" customFormat="1" ht="21">
      <c r="A117" s="71" t="s">
        <v>80</v>
      </c>
      <c r="B117" s="2">
        <f t="shared" si="5"/>
        <v>29219.97311999999</v>
      </c>
      <c r="C117" s="1">
        <f t="shared" si="6"/>
        <v>0</v>
      </c>
      <c r="D117" s="1">
        <f t="shared" si="7"/>
        <v>0</v>
      </c>
      <c r="E117" s="1">
        <f t="shared" si="8"/>
        <v>21072.095999999994</v>
      </c>
      <c r="F117" s="49">
        <f t="shared" si="9"/>
        <v>8147.877119999998</v>
      </c>
    </row>
    <row r="118" spans="1:6" s="25" customFormat="1" ht="21">
      <c r="A118" s="71" t="s">
        <v>81</v>
      </c>
      <c r="B118" s="2">
        <f t="shared" si="5"/>
        <v>19591.935999999994</v>
      </c>
      <c r="C118" s="1">
        <f t="shared" si="6"/>
        <v>0</v>
      </c>
      <c r="D118" s="1">
        <f t="shared" si="7"/>
        <v>4373.199999999999</v>
      </c>
      <c r="E118" s="1">
        <f t="shared" si="8"/>
        <v>15218.735999999997</v>
      </c>
      <c r="F118" s="49">
        <f t="shared" si="9"/>
        <v>0</v>
      </c>
    </row>
    <row r="119" spans="1:6" s="4" customFormat="1" ht="21">
      <c r="A119" s="71" t="s">
        <v>82</v>
      </c>
      <c r="B119" s="2">
        <f t="shared" si="5"/>
        <v>54058.67264</v>
      </c>
      <c r="C119" s="1">
        <f t="shared" si="6"/>
        <v>0</v>
      </c>
      <c r="D119" s="1">
        <f t="shared" si="7"/>
        <v>11774</v>
      </c>
      <c r="E119" s="1">
        <f t="shared" si="8"/>
        <v>32778.816</v>
      </c>
      <c r="F119" s="49">
        <f t="shared" si="9"/>
        <v>9505.856639999998</v>
      </c>
    </row>
    <row r="120" spans="1:6" s="17" customFormat="1" ht="21">
      <c r="A120" s="71" t="s">
        <v>83</v>
      </c>
      <c r="B120" s="2">
        <f t="shared" si="5"/>
        <v>116353.70905599998</v>
      </c>
      <c r="C120" s="1">
        <f t="shared" si="6"/>
        <v>0</v>
      </c>
      <c r="D120" s="1">
        <f t="shared" si="7"/>
        <v>40906.24</v>
      </c>
      <c r="E120" s="1">
        <f t="shared" si="8"/>
        <v>44485.53599999999</v>
      </c>
      <c r="F120" s="49">
        <f t="shared" si="9"/>
        <v>30961.933055999994</v>
      </c>
    </row>
    <row r="121" spans="1:6" s="4" customFormat="1" ht="21">
      <c r="A121" s="71" t="s">
        <v>84</v>
      </c>
      <c r="B121" s="2">
        <f t="shared" si="5"/>
        <v>14214.940671999997</v>
      </c>
      <c r="C121" s="1">
        <f t="shared" si="6"/>
        <v>3305.9999999999995</v>
      </c>
      <c r="D121" s="1">
        <f t="shared" si="7"/>
        <v>3834.959999999999</v>
      </c>
      <c r="E121" s="1">
        <f t="shared" si="8"/>
        <v>4448.553599999998</v>
      </c>
      <c r="F121" s="49">
        <f t="shared" si="9"/>
        <v>2625.427071999999</v>
      </c>
    </row>
    <row r="122" spans="1:6" s="4" customFormat="1" ht="21">
      <c r="A122" s="72" t="s">
        <v>110</v>
      </c>
      <c r="B122" s="2">
        <f t="shared" si="5"/>
        <v>702285.5295999999</v>
      </c>
      <c r="C122" s="2">
        <f>SUM(C106:C121)</f>
        <v>217848</v>
      </c>
      <c r="D122" s="2">
        <f>SUM(D106:D121)</f>
        <v>242342.56</v>
      </c>
      <c r="E122" s="2">
        <f>SUM(E106:E121)</f>
        <v>187775.78879999995</v>
      </c>
      <c r="F122" s="51">
        <f>SUM(F106:F121)</f>
        <v>54319.18079999999</v>
      </c>
    </row>
    <row r="123" spans="1:6" s="19" customFormat="1" ht="21">
      <c r="A123" s="71" t="s">
        <v>85</v>
      </c>
      <c r="B123" s="2">
        <f t="shared" si="5"/>
        <v>28091.421184</v>
      </c>
      <c r="C123" s="1">
        <f>0.04*C122</f>
        <v>8713.92</v>
      </c>
      <c r="D123" s="1">
        <f>0.04*D122</f>
        <v>9693.7024</v>
      </c>
      <c r="E123" s="1">
        <f>0.04*E122</f>
        <v>7511.031551999999</v>
      </c>
      <c r="F123" s="49">
        <f>0.04*F122</f>
        <v>2172.7672319999997</v>
      </c>
    </row>
    <row r="124" spans="1:6" s="19" customFormat="1" ht="21">
      <c r="A124" s="71" t="s">
        <v>86</v>
      </c>
      <c r="B124" s="2">
        <f t="shared" si="5"/>
        <v>105342.82944</v>
      </c>
      <c r="C124" s="1">
        <f>0.15*C122</f>
        <v>32677.199999999997</v>
      </c>
      <c r="D124" s="1">
        <f>0.15*D122</f>
        <v>36351.384</v>
      </c>
      <c r="E124" s="1">
        <f>0.15*E122</f>
        <v>28166.36831999999</v>
      </c>
      <c r="F124" s="49">
        <f>0.15*F122</f>
        <v>8147.877119999997</v>
      </c>
    </row>
    <row r="125" spans="1:6" s="19" customFormat="1" ht="21">
      <c r="A125" s="72" t="s">
        <v>88</v>
      </c>
      <c r="B125" s="2">
        <f t="shared" si="5"/>
        <v>835719.780224</v>
      </c>
      <c r="C125" s="2">
        <f>SUM(C122:C124)</f>
        <v>259239.12</v>
      </c>
      <c r="D125" s="2">
        <f>SUM(D122:D124)</f>
        <v>288387.6464</v>
      </c>
      <c r="E125" s="2">
        <f>SUM(E122:E124)</f>
        <v>223453.18867199993</v>
      </c>
      <c r="F125" s="51">
        <f>SUM(F122:F124)</f>
        <v>64639.82515199998</v>
      </c>
    </row>
    <row r="126" spans="1:6" s="19" customFormat="1" ht="21">
      <c r="A126" s="71"/>
      <c r="B126" s="1"/>
      <c r="C126" s="1"/>
      <c r="D126" s="1"/>
      <c r="E126" s="1"/>
      <c r="F126" s="49"/>
    </row>
    <row r="127" spans="1:6" s="19" customFormat="1" ht="21">
      <c r="A127" s="65" t="s">
        <v>137</v>
      </c>
      <c r="B127" s="3" t="s">
        <v>27</v>
      </c>
      <c r="C127" s="2"/>
      <c r="D127" s="2"/>
      <c r="E127" s="2"/>
      <c r="F127" s="51"/>
    </row>
    <row r="128" spans="1:6" s="19" customFormat="1" ht="21">
      <c r="A128" s="71" t="s">
        <v>129</v>
      </c>
      <c r="B128" s="20">
        <f aca="true" t="shared" si="10" ref="B128:B147">SUM(C128:F128)</f>
        <v>0.003608865161946525</v>
      </c>
      <c r="C128" s="16">
        <f aca="true" t="shared" si="11" ref="C128:F147">C106/$B$125</f>
        <v>0.003608865161946525</v>
      </c>
      <c r="D128" s="16">
        <f t="shared" si="11"/>
        <v>0</v>
      </c>
      <c r="E128" s="16">
        <f t="shared" si="11"/>
        <v>0</v>
      </c>
      <c r="F128" s="48">
        <f t="shared" si="11"/>
        <v>0</v>
      </c>
    </row>
    <row r="129" spans="1:6" s="19" customFormat="1" ht="21">
      <c r="A129" s="71" t="s">
        <v>71</v>
      </c>
      <c r="B129" s="20">
        <f t="shared" si="10"/>
        <v>0.022208400996594</v>
      </c>
      <c r="C129" s="16">
        <f t="shared" si="11"/>
        <v>0.022208400996594</v>
      </c>
      <c r="D129" s="16">
        <f t="shared" si="11"/>
        <v>0</v>
      </c>
      <c r="E129" s="16">
        <f t="shared" si="11"/>
        <v>0</v>
      </c>
      <c r="F129" s="48">
        <f t="shared" si="11"/>
        <v>0</v>
      </c>
    </row>
    <row r="130" spans="1:6" s="19" customFormat="1" ht="21">
      <c r="A130" s="71" t="s">
        <v>72</v>
      </c>
      <c r="B130" s="20">
        <f t="shared" si="10"/>
        <v>0.1517722124107234</v>
      </c>
      <c r="C130" s="16">
        <f t="shared" si="11"/>
        <v>0.13824729620379764</v>
      </c>
      <c r="D130" s="16">
        <f t="shared" si="11"/>
        <v>0.013524916206925745</v>
      </c>
      <c r="E130" s="16">
        <f t="shared" si="11"/>
        <v>0</v>
      </c>
      <c r="F130" s="48">
        <f t="shared" si="11"/>
        <v>0</v>
      </c>
    </row>
    <row r="131" spans="1:6" s="19" customFormat="1" ht="21">
      <c r="A131" s="71" t="s">
        <v>73</v>
      </c>
      <c r="B131" s="20">
        <f t="shared" si="10"/>
        <v>0.0433063819433583</v>
      </c>
      <c r="C131" s="16">
        <f t="shared" si="11"/>
        <v>0.031230563901460312</v>
      </c>
      <c r="D131" s="16">
        <f t="shared" si="11"/>
        <v>0.012075818041897987</v>
      </c>
      <c r="E131" s="16">
        <f t="shared" si="11"/>
        <v>0</v>
      </c>
      <c r="F131" s="48">
        <f t="shared" si="11"/>
        <v>0</v>
      </c>
    </row>
    <row r="132" spans="1:6" s="17" customFormat="1" ht="21">
      <c r="A132" s="71" t="s">
        <v>74</v>
      </c>
      <c r="B132" s="20">
        <f t="shared" si="10"/>
        <v>0.011181929901785077</v>
      </c>
      <c r="C132" s="16">
        <f t="shared" si="11"/>
        <v>0.006593119045863844</v>
      </c>
      <c r="D132" s="16">
        <f t="shared" si="11"/>
        <v>0.0045888108559212345</v>
      </c>
      <c r="E132" s="16">
        <f t="shared" si="11"/>
        <v>0</v>
      </c>
      <c r="F132" s="48">
        <f t="shared" si="11"/>
        <v>0</v>
      </c>
    </row>
    <row r="133" spans="1:6" s="21" customFormat="1" ht="21">
      <c r="A133" s="71" t="s">
        <v>76</v>
      </c>
      <c r="B133" s="20">
        <f t="shared" si="10"/>
        <v>0.06146174975807389</v>
      </c>
      <c r="C133" s="16">
        <f t="shared" si="11"/>
        <v>0.028454513776886063</v>
      </c>
      <c r="D133" s="16">
        <f t="shared" si="11"/>
        <v>0.03300723598118783</v>
      </c>
      <c r="E133" s="16">
        <f t="shared" si="11"/>
        <v>0</v>
      </c>
      <c r="F133" s="48">
        <f t="shared" si="11"/>
        <v>0</v>
      </c>
    </row>
    <row r="134" spans="1:6" s="21" customFormat="1" ht="21">
      <c r="A134" s="71" t="s">
        <v>75</v>
      </c>
      <c r="B134" s="20">
        <f t="shared" si="10"/>
        <v>0.06630007199919186</v>
      </c>
      <c r="C134" s="16">
        <f t="shared" si="11"/>
        <v>0.01165941052321185</v>
      </c>
      <c r="D134" s="16">
        <f t="shared" si="11"/>
        <v>0.05071843577597154</v>
      </c>
      <c r="E134" s="16">
        <f t="shared" si="11"/>
        <v>0.003922225700008466</v>
      </c>
      <c r="F134" s="48">
        <f t="shared" si="11"/>
        <v>0</v>
      </c>
    </row>
    <row r="135" spans="1:6" s="18" customFormat="1" ht="21">
      <c r="A135" s="71" t="s">
        <v>77</v>
      </c>
      <c r="B135" s="20">
        <f t="shared" si="10"/>
        <v>0.08318467510888235</v>
      </c>
      <c r="C135" s="16">
        <f t="shared" si="11"/>
        <v>0</v>
      </c>
      <c r="D135" s="16">
        <f t="shared" si="11"/>
        <v>0.06376031926122137</v>
      </c>
      <c r="E135" s="16">
        <f t="shared" si="11"/>
        <v>0.019424355847660973</v>
      </c>
      <c r="F135" s="48">
        <f t="shared" si="11"/>
        <v>0</v>
      </c>
    </row>
    <row r="136" spans="1:6" s="18" customFormat="1" ht="21">
      <c r="A136" s="71" t="s">
        <v>78</v>
      </c>
      <c r="B136" s="20">
        <f t="shared" si="10"/>
        <v>0.0192826662493027</v>
      </c>
      <c r="C136" s="16">
        <f t="shared" si="11"/>
        <v>0</v>
      </c>
      <c r="D136" s="16">
        <f t="shared" si="11"/>
        <v>0.007889534454040018</v>
      </c>
      <c r="E136" s="16">
        <f t="shared" si="11"/>
        <v>0.011393131795262685</v>
      </c>
      <c r="F136" s="48">
        <f t="shared" si="11"/>
        <v>0</v>
      </c>
    </row>
    <row r="137" spans="1:6" s="18" customFormat="1" ht="21">
      <c r="A137" s="71" t="s">
        <v>79</v>
      </c>
      <c r="B137" s="20">
        <f t="shared" si="10"/>
        <v>0.009846654233545062</v>
      </c>
      <c r="C137" s="16">
        <f t="shared" si="11"/>
        <v>0</v>
      </c>
      <c r="D137" s="16">
        <f t="shared" si="11"/>
        <v>0</v>
      </c>
      <c r="E137" s="16">
        <f t="shared" si="11"/>
        <v>0.006163497528584732</v>
      </c>
      <c r="F137" s="48">
        <f t="shared" si="11"/>
        <v>0.00368315670496033</v>
      </c>
    </row>
    <row r="138" spans="1:6" s="18" customFormat="1" ht="21">
      <c r="A138" s="71" t="s">
        <v>89</v>
      </c>
      <c r="B138" s="20">
        <f t="shared" si="10"/>
        <v>0.08885536821935264</v>
      </c>
      <c r="C138" s="16">
        <f t="shared" si="11"/>
        <v>0.014713065660243526</v>
      </c>
      <c r="D138" s="16">
        <f t="shared" si="11"/>
        <v>0.03155813781616007</v>
      </c>
      <c r="E138" s="16">
        <f t="shared" si="11"/>
        <v>0.04258416474294905</v>
      </c>
      <c r="F138" s="48">
        <f t="shared" si="11"/>
        <v>0</v>
      </c>
    </row>
    <row r="139" spans="1:6" s="18" customFormat="1" ht="21">
      <c r="A139" s="71" t="s">
        <v>80</v>
      </c>
      <c r="B139" s="20">
        <f t="shared" si="10"/>
        <v>0.03496384052578975</v>
      </c>
      <c r="C139" s="16">
        <f t="shared" si="11"/>
        <v>0</v>
      </c>
      <c r="D139" s="16">
        <f t="shared" si="11"/>
        <v>0</v>
      </c>
      <c r="E139" s="16">
        <f t="shared" si="11"/>
        <v>0.02521430807148299</v>
      </c>
      <c r="F139" s="48">
        <f t="shared" si="11"/>
        <v>0.009749532454306757</v>
      </c>
    </row>
    <row r="140" spans="1:6" s="18" customFormat="1" ht="21">
      <c r="A140" s="71" t="s">
        <v>81</v>
      </c>
      <c r="B140" s="20">
        <f t="shared" si="10"/>
        <v>0.023443188092004623</v>
      </c>
      <c r="C140" s="16">
        <f t="shared" si="11"/>
        <v>0</v>
      </c>
      <c r="D140" s="16">
        <f t="shared" si="11"/>
        <v>0.00523285448482246</v>
      </c>
      <c r="E140" s="16">
        <f t="shared" si="11"/>
        <v>0.01821033360718216</v>
      </c>
      <c r="F140" s="48">
        <f t="shared" si="11"/>
        <v>0</v>
      </c>
    </row>
    <row r="141" spans="1:6" s="18" customFormat="1" ht="21">
      <c r="A141" s="71" t="s">
        <v>82</v>
      </c>
      <c r="B141" s="20">
        <f t="shared" si="10"/>
        <v>0.06468516591232353</v>
      </c>
      <c r="C141" s="16">
        <f t="shared" si="11"/>
        <v>0</v>
      </c>
      <c r="D141" s="16">
        <f t="shared" si="11"/>
        <v>0.01408845438221432</v>
      </c>
      <c r="E141" s="16">
        <f t="shared" si="11"/>
        <v>0.039222257000084665</v>
      </c>
      <c r="F141" s="48">
        <f t="shared" si="11"/>
        <v>0.01137445453002455</v>
      </c>
    </row>
    <row r="142" spans="1:6" s="18" customFormat="1" ht="21">
      <c r="A142" s="71" t="s">
        <v>83</v>
      </c>
      <c r="B142" s="20">
        <f t="shared" si="10"/>
        <v>0.13922574505154517</v>
      </c>
      <c r="C142" s="16">
        <f t="shared" si="11"/>
        <v>0</v>
      </c>
      <c r="D142" s="16">
        <f t="shared" si="11"/>
        <v>0.048947315796493175</v>
      </c>
      <c r="E142" s="16">
        <f t="shared" si="11"/>
        <v>0.05323020592868632</v>
      </c>
      <c r="F142" s="48">
        <f t="shared" si="11"/>
        <v>0.037048223326365676</v>
      </c>
    </row>
    <row r="143" spans="1:6" s="18" customFormat="1" ht="21">
      <c r="A143" s="71" t="s">
        <v>84</v>
      </c>
      <c r="B143" s="20">
        <f t="shared" si="10"/>
        <v>0.01700921888936257</v>
      </c>
      <c r="C143" s="16">
        <f t="shared" si="11"/>
        <v>0.003955871427518306</v>
      </c>
      <c r="D143" s="16">
        <f t="shared" si="11"/>
        <v>0.0045888108559212345</v>
      </c>
      <c r="E143" s="16">
        <f t="shared" si="11"/>
        <v>0.005323020592868631</v>
      </c>
      <c r="F143" s="48">
        <f t="shared" si="11"/>
        <v>0.003141516013054399</v>
      </c>
    </row>
    <row r="144" spans="1:6" s="18" customFormat="1" ht="21">
      <c r="A144" s="72" t="s">
        <v>110</v>
      </c>
      <c r="B144" s="20">
        <f t="shared" si="10"/>
        <v>0.8403361344537814</v>
      </c>
      <c r="C144" s="20">
        <f t="shared" si="11"/>
        <v>0.2606711066975221</v>
      </c>
      <c r="D144" s="20">
        <f t="shared" si="11"/>
        <v>0.289980643912777</v>
      </c>
      <c r="E144" s="20">
        <f t="shared" si="11"/>
        <v>0.22468750081477065</v>
      </c>
      <c r="F144" s="52">
        <f t="shared" si="11"/>
        <v>0.06499688302871172</v>
      </c>
    </row>
    <row r="145" spans="1:6" s="18" customFormat="1" ht="21">
      <c r="A145" s="71" t="s">
        <v>85</v>
      </c>
      <c r="B145" s="20">
        <f t="shared" si="10"/>
        <v>0.03361344537815126</v>
      </c>
      <c r="C145" s="16">
        <f t="shared" si="11"/>
        <v>0.010426844267900883</v>
      </c>
      <c r="D145" s="16">
        <f t="shared" si="11"/>
        <v>0.01159922575651108</v>
      </c>
      <c r="E145" s="16">
        <f t="shared" si="11"/>
        <v>0.008987500032590827</v>
      </c>
      <c r="F145" s="48">
        <f t="shared" si="11"/>
        <v>0.0025998753211484687</v>
      </c>
    </row>
    <row r="146" spans="1:6" s="18" customFormat="1" ht="21">
      <c r="A146" s="71" t="s">
        <v>86</v>
      </c>
      <c r="B146" s="20">
        <f t="shared" si="10"/>
        <v>0.12605042016806722</v>
      </c>
      <c r="C146" s="16">
        <f t="shared" si="11"/>
        <v>0.03910066600462831</v>
      </c>
      <c r="D146" s="16">
        <f t="shared" si="11"/>
        <v>0.04349709658691655</v>
      </c>
      <c r="E146" s="16">
        <f t="shared" si="11"/>
        <v>0.0337031251222156</v>
      </c>
      <c r="F146" s="48">
        <f t="shared" si="11"/>
        <v>0.009749532454306755</v>
      </c>
    </row>
    <row r="147" spans="1:6" s="18" customFormat="1" ht="21">
      <c r="A147" s="72" t="s">
        <v>88</v>
      </c>
      <c r="B147" s="20">
        <f t="shared" si="10"/>
        <v>0.9999999999999998</v>
      </c>
      <c r="C147" s="20">
        <f t="shared" si="11"/>
        <v>0.31019861697005124</v>
      </c>
      <c r="D147" s="20">
        <f t="shared" si="11"/>
        <v>0.34507696625620465</v>
      </c>
      <c r="E147" s="20">
        <f t="shared" si="11"/>
        <v>0.26737812596957705</v>
      </c>
      <c r="F147" s="52">
        <f t="shared" si="11"/>
        <v>0.07734629080416694</v>
      </c>
    </row>
    <row r="148" spans="1:6" s="18" customFormat="1" ht="21">
      <c r="A148" s="72"/>
      <c r="B148" s="42"/>
      <c r="C148" s="42"/>
      <c r="D148" s="42"/>
      <c r="E148" s="42"/>
      <c r="F148" s="53"/>
    </row>
    <row r="149" spans="1:6" s="18" customFormat="1" ht="21">
      <c r="A149" s="65" t="s">
        <v>58</v>
      </c>
      <c r="B149" s="3"/>
      <c r="C149" s="2"/>
      <c r="D149" s="2"/>
      <c r="E149" s="2"/>
      <c r="F149" s="51"/>
    </row>
    <row r="150" spans="1:6" s="18" customFormat="1" ht="21">
      <c r="A150" s="71" t="s">
        <v>31</v>
      </c>
      <c r="B150" s="6"/>
      <c r="C150" s="1">
        <v>0</v>
      </c>
      <c r="D150" s="1">
        <f>C154</f>
        <v>0</v>
      </c>
      <c r="E150" s="1">
        <f>D154</f>
        <v>0</v>
      </c>
      <c r="F150" s="49">
        <f>E154</f>
        <v>0</v>
      </c>
    </row>
    <row r="151" spans="1:6" s="18" customFormat="1" ht="21">
      <c r="A151" s="71" t="s">
        <v>32</v>
      </c>
      <c r="B151" s="6"/>
      <c r="C151" s="1">
        <f>C21</f>
        <v>0</v>
      </c>
      <c r="D151" s="1">
        <f>D21</f>
        <v>0</v>
      </c>
      <c r="E151" s="1">
        <f>E21</f>
        <v>0</v>
      </c>
      <c r="F151" s="49">
        <v>0</v>
      </c>
    </row>
    <row r="152" spans="1:6" s="18" customFormat="1" ht="21">
      <c r="A152" s="71" t="s">
        <v>28</v>
      </c>
      <c r="B152" s="6"/>
      <c r="C152" s="1">
        <v>0</v>
      </c>
      <c r="D152" s="1">
        <v>0</v>
      </c>
      <c r="E152" s="1">
        <f>D154</f>
        <v>0</v>
      </c>
      <c r="F152" s="49">
        <f>E154</f>
        <v>0</v>
      </c>
    </row>
    <row r="153" spans="1:6" s="18" customFormat="1" ht="21">
      <c r="A153" s="71" t="s">
        <v>64</v>
      </c>
      <c r="B153" s="6"/>
      <c r="C153" s="1">
        <f>(0.02+C14)*(C151+C150-C152)</f>
        <v>0</v>
      </c>
      <c r="D153" s="1">
        <f>(0.02+D14)*(D151+D150-D152)</f>
        <v>0</v>
      </c>
      <c r="E153" s="1">
        <f>(0.02+E14)*(E151+E150-E152)</f>
        <v>0</v>
      </c>
      <c r="F153" s="49">
        <f>(0.02+F14)*(F151+F150-F152)</f>
        <v>0</v>
      </c>
    </row>
    <row r="154" spans="1:6" s="18" customFormat="1" ht="21">
      <c r="A154" s="71" t="s">
        <v>30</v>
      </c>
      <c r="B154" s="6"/>
      <c r="C154" s="1">
        <f>C150-C152+C153+C151</f>
        <v>0</v>
      </c>
      <c r="D154" s="1">
        <f>D150-D152+D153+D151</f>
        <v>0</v>
      </c>
      <c r="E154" s="1">
        <f>E150-E152+E153+E151</f>
        <v>0</v>
      </c>
      <c r="F154" s="49">
        <f>F150-F152+F153+F151</f>
        <v>0</v>
      </c>
    </row>
    <row r="155" spans="1:6" s="18" customFormat="1" ht="21">
      <c r="A155" s="72"/>
      <c r="B155" s="2"/>
      <c r="C155" s="2"/>
      <c r="D155" s="2"/>
      <c r="E155" s="2"/>
      <c r="F155" s="51"/>
    </row>
    <row r="156" spans="1:6" s="18" customFormat="1" ht="21">
      <c r="A156" s="65" t="s">
        <v>131</v>
      </c>
      <c r="B156" s="3"/>
      <c r="C156" s="20"/>
      <c r="D156" s="20"/>
      <c r="E156" s="20"/>
      <c r="F156" s="52"/>
    </row>
    <row r="157" spans="1:6" s="18" customFormat="1" ht="21">
      <c r="A157" s="71" t="s">
        <v>48</v>
      </c>
      <c r="B157" s="2">
        <f aca="true" t="shared" si="12" ref="B157:B162">SUM(C157:F157)</f>
        <v>450000</v>
      </c>
      <c r="C157" s="1">
        <f>B20</f>
        <v>450000</v>
      </c>
      <c r="D157" s="1">
        <f>C20</f>
        <v>0</v>
      </c>
      <c r="E157" s="1">
        <f>D20</f>
        <v>0</v>
      </c>
      <c r="F157" s="49">
        <f>E20</f>
        <v>0</v>
      </c>
    </row>
    <row r="158" spans="1:6" s="18" customFormat="1" ht="21">
      <c r="A158" s="71" t="s">
        <v>96</v>
      </c>
      <c r="B158" s="2">
        <f t="shared" si="12"/>
        <v>835719.780224</v>
      </c>
      <c r="C158" s="1">
        <f>C125</f>
        <v>259239.12</v>
      </c>
      <c r="D158" s="1">
        <f>D125</f>
        <v>288387.6464</v>
      </c>
      <c r="E158" s="1">
        <f>E125</f>
        <v>223453.18867199993</v>
      </c>
      <c r="F158" s="49">
        <f>F125</f>
        <v>64639.82515199998</v>
      </c>
    </row>
    <row r="159" spans="1:6" s="18" customFormat="1" ht="21">
      <c r="A159" s="71" t="s">
        <v>87</v>
      </c>
      <c r="B159" s="2">
        <f t="shared" si="12"/>
        <v>41785.9890112</v>
      </c>
      <c r="C159" s="1">
        <f>0.05*C125</f>
        <v>12961.956</v>
      </c>
      <c r="D159" s="1">
        <f>0.05*D125</f>
        <v>14419.382320000002</v>
      </c>
      <c r="E159" s="1">
        <f>0.05*E125</f>
        <v>11172.659433599998</v>
      </c>
      <c r="F159" s="49">
        <f>0.05*F125</f>
        <v>3231.9912575999992</v>
      </c>
    </row>
    <row r="160" spans="1:6" s="18" customFormat="1" ht="21">
      <c r="A160" s="71" t="s">
        <v>97</v>
      </c>
      <c r="B160" s="2">
        <f t="shared" si="12"/>
        <v>0</v>
      </c>
      <c r="C160" s="1">
        <f>C153</f>
        <v>0</v>
      </c>
      <c r="D160" s="1">
        <f>D153</f>
        <v>0</v>
      </c>
      <c r="E160" s="1">
        <f>E153</f>
        <v>0</v>
      </c>
      <c r="F160" s="49">
        <f>F153</f>
        <v>0</v>
      </c>
    </row>
    <row r="161" spans="1:6" s="18" customFormat="1" ht="21">
      <c r="A161" s="71" t="s">
        <v>98</v>
      </c>
      <c r="B161" s="2">
        <f t="shared" si="12"/>
        <v>16714.39560448</v>
      </c>
      <c r="C161" s="1">
        <f>0.02*C158</f>
        <v>5184.7824</v>
      </c>
      <c r="D161" s="1">
        <f>0.02*D158</f>
        <v>5767.752928000001</v>
      </c>
      <c r="E161" s="1">
        <f>0.02*E158</f>
        <v>4469.063773439999</v>
      </c>
      <c r="F161" s="49">
        <f>0.02*F158</f>
        <v>1292.7965030399996</v>
      </c>
    </row>
    <row r="162" spans="1:6" s="17" customFormat="1" ht="21">
      <c r="A162" s="75" t="s">
        <v>50</v>
      </c>
      <c r="B162" s="2">
        <f t="shared" si="12"/>
        <v>1344220.1648396798</v>
      </c>
      <c r="C162" s="7">
        <f>SUM(C157:C161)</f>
        <v>727385.8584</v>
      </c>
      <c r="D162" s="7">
        <f>SUM(D157:D161)</f>
        <v>308574.781648</v>
      </c>
      <c r="E162" s="7">
        <f>SUM(E157:E161)</f>
        <v>239094.91187903992</v>
      </c>
      <c r="F162" s="54">
        <f>SUM(F157:F161)</f>
        <v>69164.61291263998</v>
      </c>
    </row>
    <row r="163" spans="1:6" s="17" customFormat="1" ht="21">
      <c r="A163" s="71"/>
      <c r="B163" s="1"/>
      <c r="C163" s="1"/>
      <c r="D163" s="1"/>
      <c r="E163" s="1"/>
      <c r="F163" s="49"/>
    </row>
    <row r="164" spans="1:6" s="4" customFormat="1" ht="21">
      <c r="A164" s="65" t="s">
        <v>18</v>
      </c>
      <c r="B164" s="3"/>
      <c r="C164" s="18"/>
      <c r="D164" s="18"/>
      <c r="E164" s="2"/>
      <c r="F164" s="51"/>
    </row>
    <row r="165" spans="1:6" s="21" customFormat="1" ht="21">
      <c r="A165" s="71" t="s">
        <v>48</v>
      </c>
      <c r="B165" s="20">
        <f aca="true" t="shared" si="13" ref="B165:B170">SUM(C165:F165)</f>
        <v>0.3347665894103514</v>
      </c>
      <c r="C165" s="16">
        <f aca="true" t="shared" si="14" ref="C165:F170">C157/$B$162</f>
        <v>0.3347665894103514</v>
      </c>
      <c r="D165" s="16">
        <f t="shared" si="14"/>
        <v>0</v>
      </c>
      <c r="E165" s="16">
        <f t="shared" si="14"/>
        <v>0</v>
      </c>
      <c r="F165" s="48">
        <f t="shared" si="14"/>
        <v>0</v>
      </c>
    </row>
    <row r="166" spans="1:6" s="17" customFormat="1" ht="21">
      <c r="A166" s="71" t="s">
        <v>49</v>
      </c>
      <c r="B166" s="20">
        <f t="shared" si="13"/>
        <v>0.6217134678407931</v>
      </c>
      <c r="C166" s="16">
        <f t="shared" si="14"/>
        <v>0.19285465787586847</v>
      </c>
      <c r="D166" s="16">
        <f t="shared" si="14"/>
        <v>0.21453899736312537</v>
      </c>
      <c r="E166" s="16">
        <f t="shared" si="14"/>
        <v>0.1662325819213182</v>
      </c>
      <c r="F166" s="48">
        <f t="shared" si="14"/>
        <v>0.048087230680481076</v>
      </c>
    </row>
    <row r="167" spans="1:6" s="4" customFormat="1" ht="21">
      <c r="A167" s="71" t="s">
        <v>87</v>
      </c>
      <c r="B167" s="20">
        <f t="shared" si="13"/>
        <v>0.03108567339203966</v>
      </c>
      <c r="C167" s="16">
        <f t="shared" si="14"/>
        <v>0.009642732893793424</v>
      </c>
      <c r="D167" s="16">
        <f t="shared" si="14"/>
        <v>0.010726949868156269</v>
      </c>
      <c r="E167" s="16">
        <f t="shared" si="14"/>
        <v>0.008311629096065911</v>
      </c>
      <c r="F167" s="48">
        <f t="shared" si="14"/>
        <v>0.002404361534024054</v>
      </c>
    </row>
    <row r="168" spans="1:6" s="4" customFormat="1" ht="21">
      <c r="A168" s="71" t="s">
        <v>14</v>
      </c>
      <c r="B168" s="20">
        <f t="shared" si="13"/>
        <v>0</v>
      </c>
      <c r="C168" s="16">
        <f t="shared" si="14"/>
        <v>0</v>
      </c>
      <c r="D168" s="16">
        <f t="shared" si="14"/>
        <v>0</v>
      </c>
      <c r="E168" s="16">
        <f t="shared" si="14"/>
        <v>0</v>
      </c>
      <c r="F168" s="48">
        <f t="shared" si="14"/>
        <v>0</v>
      </c>
    </row>
    <row r="169" spans="1:6" s="4" customFormat="1" ht="21">
      <c r="A169" s="71" t="s">
        <v>15</v>
      </c>
      <c r="B169" s="20">
        <f t="shared" si="13"/>
        <v>0.012434269356815863</v>
      </c>
      <c r="C169" s="16">
        <f t="shared" si="14"/>
        <v>0.0038570931575173696</v>
      </c>
      <c r="D169" s="16">
        <f t="shared" si="14"/>
        <v>0.004290779947262508</v>
      </c>
      <c r="E169" s="16">
        <f t="shared" si="14"/>
        <v>0.003324651638426364</v>
      </c>
      <c r="F169" s="48">
        <f t="shared" si="14"/>
        <v>0.0009617446136096215</v>
      </c>
    </row>
    <row r="170" spans="1:6" s="45" customFormat="1" ht="21">
      <c r="A170" s="72" t="s">
        <v>3</v>
      </c>
      <c r="B170" s="20">
        <f t="shared" si="13"/>
        <v>1</v>
      </c>
      <c r="C170" s="20">
        <f t="shared" si="14"/>
        <v>0.5411210733375307</v>
      </c>
      <c r="D170" s="20">
        <f t="shared" si="14"/>
        <v>0.22955672717854414</v>
      </c>
      <c r="E170" s="20">
        <f t="shared" si="14"/>
        <v>0.17786886265581048</v>
      </c>
      <c r="F170" s="52">
        <f t="shared" si="14"/>
        <v>0.051453336828114746</v>
      </c>
    </row>
    <row r="171" spans="1:6" s="17" customFormat="1" ht="21">
      <c r="A171" s="71"/>
      <c r="B171" s="1"/>
      <c r="C171" s="1"/>
      <c r="D171" s="1"/>
      <c r="E171" s="1"/>
      <c r="F171" s="49"/>
    </row>
    <row r="172" spans="1:6" s="4" customFormat="1" ht="21">
      <c r="A172" s="65" t="s">
        <v>91</v>
      </c>
      <c r="B172" s="27" t="s">
        <v>27</v>
      </c>
      <c r="C172" s="22"/>
      <c r="D172" s="22"/>
      <c r="E172" s="22"/>
      <c r="F172" s="55"/>
    </row>
    <row r="173" spans="1:6" s="21" customFormat="1" ht="21">
      <c r="A173" s="71" t="s">
        <v>94</v>
      </c>
      <c r="B173" s="2">
        <f>SUM(C173:F173)</f>
        <v>2168178.843647999</v>
      </c>
      <c r="C173" s="1">
        <f>C27*C26</f>
        <v>242207.99999999997</v>
      </c>
      <c r="D173" s="1">
        <f>D27*D26</f>
        <v>374615.0399999999</v>
      </c>
      <c r="E173" s="1">
        <f>E27*E26</f>
        <v>543191.8079999998</v>
      </c>
      <c r="F173" s="49">
        <f>F27*F26</f>
        <v>1008163.9956479996</v>
      </c>
    </row>
    <row r="174" spans="1:6" s="4" customFormat="1" ht="21">
      <c r="A174" s="76" t="s">
        <v>93</v>
      </c>
      <c r="B174" s="42">
        <f>SUM(C174:F174)</f>
        <v>1</v>
      </c>
      <c r="C174" s="16">
        <f>C173/$B$173</f>
        <v>0.11171034193493039</v>
      </c>
      <c r="D174" s="16">
        <f>D173/$B$173</f>
        <v>0.17277866219269233</v>
      </c>
      <c r="E174" s="16">
        <f>E173/$B$173</f>
        <v>0.25052906017940385</v>
      </c>
      <c r="F174" s="48">
        <f>F173/$B$173</f>
        <v>0.46498193569297347</v>
      </c>
    </row>
    <row r="175" spans="1:6" s="18" customFormat="1" ht="21">
      <c r="A175" s="66"/>
      <c r="B175" s="12"/>
      <c r="C175" s="22"/>
      <c r="D175" s="22"/>
      <c r="E175" s="22"/>
      <c r="F175" s="55"/>
    </row>
    <row r="176" spans="1:6" s="4" customFormat="1" ht="21">
      <c r="A176" s="65" t="s">
        <v>95</v>
      </c>
      <c r="B176" s="3"/>
      <c r="C176" s="1"/>
      <c r="D176" s="1"/>
      <c r="E176" s="1"/>
      <c r="F176" s="49"/>
    </row>
    <row r="177" spans="1:6" s="4" customFormat="1" ht="21">
      <c r="A177" s="71" t="s">
        <v>48</v>
      </c>
      <c r="B177" s="2">
        <f>SUM(C177:F177)</f>
        <v>450000</v>
      </c>
      <c r="C177" s="1">
        <f>B20</f>
        <v>450000</v>
      </c>
      <c r="D177" s="1">
        <f>C20</f>
        <v>0</v>
      </c>
      <c r="E177" s="1">
        <f>D20</f>
        <v>0</v>
      </c>
      <c r="F177" s="49">
        <f>E20</f>
        <v>0</v>
      </c>
    </row>
    <row r="178" spans="1:6" s="4" customFormat="1" ht="21">
      <c r="A178" s="71" t="s">
        <v>49</v>
      </c>
      <c r="B178" s="2">
        <f>SUM(C178:F178)</f>
        <v>835719.780224</v>
      </c>
      <c r="C178" s="1">
        <f>C158</f>
        <v>259239.12</v>
      </c>
      <c r="D178" s="1">
        <f>D158</f>
        <v>288387.6464</v>
      </c>
      <c r="E178" s="1">
        <f>E158</f>
        <v>223453.18867199993</v>
      </c>
      <c r="F178" s="49">
        <f>F158</f>
        <v>64639.82515199998</v>
      </c>
    </row>
    <row r="179" spans="1:6" s="4" customFormat="1" ht="21">
      <c r="A179" s="72" t="s">
        <v>3</v>
      </c>
      <c r="B179" s="2">
        <f>SUM(C179:F179)</f>
        <v>1285719.7802239999</v>
      </c>
      <c r="C179" s="2">
        <f>SUM(C177:C178)</f>
        <v>709239.12</v>
      </c>
      <c r="D179" s="2">
        <f>SUM(D177:D178)</f>
        <v>288387.6464</v>
      </c>
      <c r="E179" s="2">
        <f>SUM(E177:E178)</f>
        <v>223453.18867199993</v>
      </c>
      <c r="F179" s="51">
        <f>SUM(F177:F178)</f>
        <v>64639.82515199998</v>
      </c>
    </row>
    <row r="180" spans="1:6" ht="21">
      <c r="A180" s="72"/>
      <c r="B180" s="2"/>
      <c r="C180" s="2"/>
      <c r="D180" s="2"/>
      <c r="E180" s="2"/>
      <c r="F180" s="51"/>
    </row>
    <row r="181" spans="1:6" ht="21">
      <c r="A181" s="65" t="s">
        <v>65</v>
      </c>
      <c r="B181" s="3"/>
      <c r="C181" s="1"/>
      <c r="D181" s="1"/>
      <c r="E181" s="1"/>
      <c r="F181" s="49"/>
    </row>
    <row r="182" spans="1:6" ht="21">
      <c r="A182" s="71" t="s">
        <v>87</v>
      </c>
      <c r="B182" s="2">
        <f>SUM(C182:F182)</f>
        <v>41785.9890112</v>
      </c>
      <c r="C182" s="1">
        <f aca="true" t="shared" si="15" ref="C182:F184">C159</f>
        <v>12961.956</v>
      </c>
      <c r="D182" s="1">
        <f t="shared" si="15"/>
        <v>14419.382320000002</v>
      </c>
      <c r="E182" s="1">
        <f t="shared" si="15"/>
        <v>11172.659433599998</v>
      </c>
      <c r="F182" s="49">
        <f t="shared" si="15"/>
        <v>3231.9912575999992</v>
      </c>
    </row>
    <row r="183" spans="1:6" ht="21">
      <c r="A183" s="71" t="s">
        <v>14</v>
      </c>
      <c r="B183" s="2">
        <f>SUM(C183:F183)</f>
        <v>0</v>
      </c>
      <c r="C183" s="1">
        <f t="shared" si="15"/>
        <v>0</v>
      </c>
      <c r="D183" s="1">
        <f t="shared" si="15"/>
        <v>0</v>
      </c>
      <c r="E183" s="1">
        <f t="shared" si="15"/>
        <v>0</v>
      </c>
      <c r="F183" s="49">
        <f t="shared" si="15"/>
        <v>0</v>
      </c>
    </row>
    <row r="184" spans="1:6" ht="21">
      <c r="A184" s="71" t="s">
        <v>15</v>
      </c>
      <c r="B184" s="2">
        <f>SUM(C184:F184)</f>
        <v>16714.39560448</v>
      </c>
      <c r="C184" s="1">
        <f t="shared" si="15"/>
        <v>5184.7824</v>
      </c>
      <c r="D184" s="1">
        <f t="shared" si="15"/>
        <v>5767.752928000001</v>
      </c>
      <c r="E184" s="1">
        <f t="shared" si="15"/>
        <v>4469.063773439999</v>
      </c>
      <c r="F184" s="49">
        <f t="shared" si="15"/>
        <v>1292.7965030399996</v>
      </c>
    </row>
    <row r="185" spans="1:6" ht="21">
      <c r="A185" s="72" t="s">
        <v>3</v>
      </c>
      <c r="B185" s="2">
        <f>SUM(C185:F185)</f>
        <v>58500.38461568001</v>
      </c>
      <c r="C185" s="2">
        <f>SUM(C182:C184)</f>
        <v>18146.738400000002</v>
      </c>
      <c r="D185" s="2">
        <f>SUM(D182:D184)</f>
        <v>20187.135248000002</v>
      </c>
      <c r="E185" s="2">
        <f>SUM(E182:E184)</f>
        <v>15641.723207039997</v>
      </c>
      <c r="F185" s="51">
        <f>SUM(F182:F184)</f>
        <v>4524.787760639999</v>
      </c>
    </row>
    <row r="186" spans="1:6" s="4" customFormat="1" ht="21">
      <c r="A186" s="72"/>
      <c r="B186" s="2"/>
      <c r="C186" s="2"/>
      <c r="D186" s="2"/>
      <c r="E186" s="2"/>
      <c r="F186" s="51"/>
    </row>
    <row r="187" spans="1:6" s="4" customFormat="1" ht="21">
      <c r="A187" s="66" t="s">
        <v>125</v>
      </c>
      <c r="B187" s="27"/>
      <c r="C187" s="16"/>
      <c r="D187" s="16"/>
      <c r="E187" s="16"/>
      <c r="F187" s="48"/>
    </row>
    <row r="188" spans="1:6" s="4" customFormat="1" ht="21">
      <c r="A188" s="71" t="s">
        <v>100</v>
      </c>
      <c r="B188" s="2">
        <f>SUM(C188:F188)</f>
        <v>882459.0634239994</v>
      </c>
      <c r="C188" s="1">
        <f>C173-C179</f>
        <v>-467031.12</v>
      </c>
      <c r="D188" s="1">
        <f>D173-D179</f>
        <v>86227.3935999999</v>
      </c>
      <c r="E188" s="1">
        <f>E173-E179</f>
        <v>319738.6193279999</v>
      </c>
      <c r="F188" s="49">
        <f>F173-F179</f>
        <v>943524.1704959996</v>
      </c>
    </row>
    <row r="189" spans="1:6" s="4" customFormat="1" ht="21">
      <c r="A189" s="77"/>
      <c r="B189" s="17"/>
      <c r="C189" s="16"/>
      <c r="D189" s="16"/>
      <c r="E189" s="16"/>
      <c r="F189" s="48"/>
    </row>
    <row r="190" spans="1:6" s="4" customFormat="1" ht="21">
      <c r="A190" s="65" t="s">
        <v>24</v>
      </c>
      <c r="B190" s="3"/>
      <c r="C190" s="1"/>
      <c r="D190" s="1"/>
      <c r="E190" s="1"/>
      <c r="F190" s="49"/>
    </row>
    <row r="191" spans="1:6" s="4" customFormat="1" ht="21">
      <c r="A191" s="71" t="s">
        <v>23</v>
      </c>
      <c r="B191" s="2">
        <f aca="true" t="shared" si="16" ref="B191:B200">SUM(C191:F191)</f>
        <v>2168178.843647999</v>
      </c>
      <c r="C191" s="1">
        <f>C173</f>
        <v>242207.99999999997</v>
      </c>
      <c r="D191" s="1">
        <f>D173</f>
        <v>374615.0399999999</v>
      </c>
      <c r="E191" s="1">
        <f>E173</f>
        <v>543191.8079999998</v>
      </c>
      <c r="F191" s="49">
        <f>F173</f>
        <v>1008163.9956479996</v>
      </c>
    </row>
    <row r="192" spans="1:6" s="4" customFormat="1" ht="21">
      <c r="A192" s="71" t="s">
        <v>47</v>
      </c>
      <c r="B192" s="2">
        <f t="shared" si="16"/>
        <v>1285719.7802239999</v>
      </c>
      <c r="C192" s="1">
        <f>C179</f>
        <v>709239.12</v>
      </c>
      <c r="D192" s="1">
        <f>D179</f>
        <v>288387.6464</v>
      </c>
      <c r="E192" s="1">
        <f>E179</f>
        <v>223453.18867199993</v>
      </c>
      <c r="F192" s="49">
        <f>F179</f>
        <v>64639.82515199998</v>
      </c>
    </row>
    <row r="193" spans="1:6" s="4" customFormat="1" ht="21">
      <c r="A193" s="71" t="s">
        <v>20</v>
      </c>
      <c r="B193" s="2">
        <f t="shared" si="16"/>
        <v>882459.0634239994</v>
      </c>
      <c r="C193" s="1">
        <f>C191-C192</f>
        <v>-467031.12</v>
      </c>
      <c r="D193" s="1">
        <f>D191-D192</f>
        <v>86227.3935999999</v>
      </c>
      <c r="E193" s="1">
        <f>E191-E192</f>
        <v>319738.6193279999</v>
      </c>
      <c r="F193" s="49">
        <f>F191-F192</f>
        <v>943524.1704959996</v>
      </c>
    </row>
    <row r="194" spans="1:6" ht="21">
      <c r="A194" s="71" t="s">
        <v>130</v>
      </c>
      <c r="B194" s="2">
        <f t="shared" si="16"/>
        <v>41785.9890112</v>
      </c>
      <c r="C194" s="1">
        <f>C182</f>
        <v>12961.956</v>
      </c>
      <c r="D194" s="1">
        <f>D182</f>
        <v>14419.382320000002</v>
      </c>
      <c r="E194" s="1">
        <f>E182</f>
        <v>11172.659433599998</v>
      </c>
      <c r="F194" s="49">
        <f>F182</f>
        <v>3231.9912575999992</v>
      </c>
    </row>
    <row r="195" spans="1:6" ht="21">
      <c r="A195" s="71" t="s">
        <v>26</v>
      </c>
      <c r="B195" s="2">
        <f t="shared" si="16"/>
        <v>840673.0744127993</v>
      </c>
      <c r="C195" s="1">
        <f>C193-C194</f>
        <v>-479993.076</v>
      </c>
      <c r="D195" s="1">
        <f>D193-D194</f>
        <v>71808.01127999989</v>
      </c>
      <c r="E195" s="1">
        <f>E193-E194</f>
        <v>308565.95989439986</v>
      </c>
      <c r="F195" s="49">
        <f>F193-F194</f>
        <v>940292.1792383996</v>
      </c>
    </row>
    <row r="196" spans="1:6" ht="21">
      <c r="A196" s="71" t="s">
        <v>25</v>
      </c>
      <c r="B196" s="2">
        <f t="shared" si="16"/>
        <v>0</v>
      </c>
      <c r="C196" s="1">
        <f aca="true" t="shared" si="17" ref="C196:F197">C183</f>
        <v>0</v>
      </c>
      <c r="D196" s="1">
        <f t="shared" si="17"/>
        <v>0</v>
      </c>
      <c r="E196" s="1">
        <f t="shared" si="17"/>
        <v>0</v>
      </c>
      <c r="F196" s="49">
        <f t="shared" si="17"/>
        <v>0</v>
      </c>
    </row>
    <row r="197" spans="1:6" ht="21">
      <c r="A197" s="71" t="s">
        <v>101</v>
      </c>
      <c r="B197" s="2">
        <f t="shared" si="16"/>
        <v>16714.39560448</v>
      </c>
      <c r="C197" s="1">
        <f t="shared" si="17"/>
        <v>5184.7824</v>
      </c>
      <c r="D197" s="1">
        <f t="shared" si="17"/>
        <v>5767.752928000001</v>
      </c>
      <c r="E197" s="1">
        <f t="shared" si="17"/>
        <v>4469.063773439999</v>
      </c>
      <c r="F197" s="49">
        <f t="shared" si="17"/>
        <v>1292.7965030399996</v>
      </c>
    </row>
    <row r="198" spans="1:6" ht="21">
      <c r="A198" s="71" t="s">
        <v>51</v>
      </c>
      <c r="B198" s="2">
        <f t="shared" si="16"/>
        <v>823958.6788083194</v>
      </c>
      <c r="C198" s="1">
        <f>C195-C196-C197</f>
        <v>-485177.8584</v>
      </c>
      <c r="D198" s="1">
        <f>D195-D196-D197</f>
        <v>66040.25835199989</v>
      </c>
      <c r="E198" s="1">
        <f>E195-E196-E197</f>
        <v>304096.89612095983</v>
      </c>
      <c r="F198" s="49">
        <f>F195-F196-F197</f>
        <v>938999.3827353596</v>
      </c>
    </row>
    <row r="199" spans="1:6" ht="21">
      <c r="A199" s="71" t="s">
        <v>52</v>
      </c>
      <c r="B199" s="2">
        <f t="shared" si="16"/>
        <v>0</v>
      </c>
      <c r="C199" s="1">
        <v>0</v>
      </c>
      <c r="D199" s="1">
        <v>0</v>
      </c>
      <c r="E199" s="1">
        <v>0</v>
      </c>
      <c r="F199" s="49">
        <v>0</v>
      </c>
    </row>
    <row r="200" spans="1:6" ht="21">
      <c r="A200" s="72" t="s">
        <v>19</v>
      </c>
      <c r="B200" s="2">
        <f t="shared" si="16"/>
        <v>823958.6788083194</v>
      </c>
      <c r="C200" s="2">
        <f>C198-C199</f>
        <v>-485177.8584</v>
      </c>
      <c r="D200" s="2">
        <f>D198-D199</f>
        <v>66040.25835199989</v>
      </c>
      <c r="E200" s="2">
        <f>E198-E199</f>
        <v>304096.89612095983</v>
      </c>
      <c r="F200" s="51">
        <f>F198-F199</f>
        <v>938999.3827353596</v>
      </c>
    </row>
    <row r="201" spans="1:6" ht="21">
      <c r="A201" s="72"/>
      <c r="B201" s="2"/>
      <c r="C201" s="2"/>
      <c r="D201" s="2"/>
      <c r="E201" s="2"/>
      <c r="F201" s="51"/>
    </row>
    <row r="202" spans="1:6" ht="21">
      <c r="A202" s="65" t="s">
        <v>53</v>
      </c>
      <c r="B202" s="3"/>
      <c r="C202" s="1"/>
      <c r="D202" s="1"/>
      <c r="E202" s="1"/>
      <c r="F202" s="49"/>
    </row>
    <row r="203" spans="1:6" ht="21">
      <c r="A203" s="71" t="s">
        <v>19</v>
      </c>
      <c r="B203" s="2">
        <f>SUM(C203:F203)</f>
        <v>823958.6788083194</v>
      </c>
      <c r="C203" s="1">
        <f>C200</f>
        <v>-485177.8584</v>
      </c>
      <c r="D203" s="1">
        <f>D200</f>
        <v>66040.25835199989</v>
      </c>
      <c r="E203" s="1">
        <f>E200</f>
        <v>304096.89612095983</v>
      </c>
      <c r="F203" s="49">
        <f>F200</f>
        <v>938999.3827353596</v>
      </c>
    </row>
    <row r="204" spans="1:6" s="28" customFormat="1" ht="21">
      <c r="A204" s="71" t="s">
        <v>54</v>
      </c>
      <c r="B204" s="2"/>
      <c r="C204" s="1">
        <v>0</v>
      </c>
      <c r="D204" s="1">
        <f>C208</f>
        <v>-485177.8584</v>
      </c>
      <c r="E204" s="1">
        <f>D208</f>
        <v>-419137.6000480001</v>
      </c>
      <c r="F204" s="49">
        <f>E208</f>
        <v>-115040.70392704027</v>
      </c>
    </row>
    <row r="205" spans="1:6" ht="21">
      <c r="A205" s="71" t="s">
        <v>55</v>
      </c>
      <c r="B205" s="2"/>
      <c r="C205" s="1">
        <f>C203+C204</f>
        <v>-485177.8584</v>
      </c>
      <c r="D205" s="1">
        <f>D203+D204</f>
        <v>-419137.6000480001</v>
      </c>
      <c r="E205" s="1">
        <f>E203+E204</f>
        <v>-115040.70392704027</v>
      </c>
      <c r="F205" s="49">
        <f>F203+F204</f>
        <v>823958.6788083194</v>
      </c>
    </row>
    <row r="206" spans="1:6" s="4" customFormat="1" ht="21">
      <c r="A206" s="71" t="s">
        <v>56</v>
      </c>
      <c r="B206" s="2">
        <f>SUM(C206:F206)</f>
        <v>41197.93394041597</v>
      </c>
      <c r="C206" s="1">
        <f>IF(C205&lt;0,0,0.05*C205)</f>
        <v>0</v>
      </c>
      <c r="D206" s="1">
        <f>IF(D205&lt;0,0,0.05*D205)</f>
        <v>0</v>
      </c>
      <c r="E206" s="1">
        <f>IF(E205&lt;0,0,0.05*E205)</f>
        <v>0</v>
      </c>
      <c r="F206" s="49">
        <f>IF(F205&lt;0,0,0.05*F205)</f>
        <v>41197.93394041597</v>
      </c>
    </row>
    <row r="207" spans="1:6" s="4" customFormat="1" ht="21">
      <c r="A207" s="71" t="s">
        <v>22</v>
      </c>
      <c r="B207" s="2">
        <f>SUM(C207:F207)</f>
        <v>0</v>
      </c>
      <c r="C207" s="1">
        <v>0</v>
      </c>
      <c r="D207" s="1">
        <v>0</v>
      </c>
      <c r="E207" s="1">
        <v>0</v>
      </c>
      <c r="F207" s="49">
        <v>0</v>
      </c>
    </row>
    <row r="208" spans="1:6" s="4" customFormat="1" ht="21">
      <c r="A208" s="72" t="s">
        <v>57</v>
      </c>
      <c r="B208" s="2"/>
      <c r="C208" s="2">
        <f>C205-C206-C207</f>
        <v>-485177.8584</v>
      </c>
      <c r="D208" s="2">
        <f>D205-D206-D207</f>
        <v>-419137.6000480001</v>
      </c>
      <c r="E208" s="2">
        <f>E205-E206-E207</f>
        <v>-115040.70392704027</v>
      </c>
      <c r="F208" s="51">
        <f>F205-F206-F207</f>
        <v>782760.7448679034</v>
      </c>
    </row>
    <row r="209" spans="1:6" s="4" customFormat="1" ht="21">
      <c r="A209" s="72"/>
      <c r="B209" s="2"/>
      <c r="C209" s="2"/>
      <c r="D209" s="2"/>
      <c r="E209" s="2"/>
      <c r="F209" s="51"/>
    </row>
    <row r="210" spans="1:6" s="4" customFormat="1" ht="21">
      <c r="A210" s="65" t="s">
        <v>5</v>
      </c>
      <c r="B210" s="3"/>
      <c r="C210" s="1"/>
      <c r="D210" s="1"/>
      <c r="E210" s="1"/>
      <c r="F210" s="49"/>
    </row>
    <row r="211" spans="1:6" s="4" customFormat="1" ht="21">
      <c r="A211" s="71" t="s">
        <v>118</v>
      </c>
      <c r="B211" s="1"/>
      <c r="C211" s="4">
        <f>C194+C196+C197</f>
        <v>18146.738400000002</v>
      </c>
      <c r="D211" s="4">
        <f>D194+D196+D197</f>
        <v>20187.135248000002</v>
      </c>
      <c r="E211" s="4">
        <f>E194+E196+E197</f>
        <v>15641.723207039997</v>
      </c>
      <c r="F211" s="56">
        <f>F194+F196+F197</f>
        <v>4524.787760639999</v>
      </c>
    </row>
    <row r="212" spans="1:6" s="4" customFormat="1" ht="21">
      <c r="A212" s="71" t="s">
        <v>119</v>
      </c>
      <c r="B212" s="1"/>
      <c r="C212" s="1">
        <f>C192</f>
        <v>709239.12</v>
      </c>
      <c r="D212" s="1">
        <f>D192</f>
        <v>288387.6464</v>
      </c>
      <c r="E212" s="1">
        <f>E192</f>
        <v>223453.18867199993</v>
      </c>
      <c r="F212" s="49">
        <f>F192</f>
        <v>64639.82515199998</v>
      </c>
    </row>
    <row r="213" spans="1:6" s="4" customFormat="1" ht="21">
      <c r="A213" s="72" t="s">
        <v>4</v>
      </c>
      <c r="B213" s="2"/>
      <c r="C213" s="2">
        <f>C211+C212</f>
        <v>727385.8584</v>
      </c>
      <c r="D213" s="2">
        <f>D211+D212</f>
        <v>308574.781648</v>
      </c>
      <c r="E213" s="2">
        <f>E211+E212</f>
        <v>239094.91187903992</v>
      </c>
      <c r="F213" s="51">
        <f>F211+F212</f>
        <v>69164.61291263998</v>
      </c>
    </row>
    <row r="214" spans="1:6" ht="21">
      <c r="A214" s="71"/>
      <c r="B214" s="1"/>
      <c r="C214" s="1"/>
      <c r="D214" s="1"/>
      <c r="E214" s="1"/>
      <c r="F214" s="49"/>
    </row>
    <row r="215" spans="1:6" ht="21">
      <c r="A215" s="65" t="s">
        <v>102</v>
      </c>
      <c r="B215" s="3"/>
      <c r="C215" s="1"/>
      <c r="D215" s="1"/>
      <c r="E215" s="1"/>
      <c r="F215" s="49"/>
    </row>
    <row r="216" spans="1:6" ht="21">
      <c r="A216" s="78" t="s">
        <v>6</v>
      </c>
      <c r="B216" s="24">
        <f>$B$162/(B200+B196)</f>
        <v>1.6314169622969539</v>
      </c>
      <c r="C216" s="24">
        <f>$B$162/(C200+C196)</f>
        <v>-2.770571949166425</v>
      </c>
      <c r="D216" s="24">
        <f>$B$162/(D200+D196)</f>
        <v>20.354556423369488</v>
      </c>
      <c r="E216" s="24">
        <f>$B$162/(E200+E196)</f>
        <v>4.420367922153973</v>
      </c>
      <c r="F216" s="50">
        <f>$B$162/(F200+F196)</f>
        <v>1.431545312547372</v>
      </c>
    </row>
    <row r="217" spans="1:6" ht="21">
      <c r="A217" s="71" t="s">
        <v>139</v>
      </c>
      <c r="B217" s="1">
        <f>B200+B196</f>
        <v>823958.6788083194</v>
      </c>
      <c r="C217" s="1">
        <f>C200+C196</f>
        <v>-485177.8584</v>
      </c>
      <c r="D217" s="1">
        <f>D200+D196</f>
        <v>66040.25835199989</v>
      </c>
      <c r="E217" s="1">
        <f>E200+E196</f>
        <v>304096.89612095983</v>
      </c>
      <c r="F217" s="49">
        <f>F200+F196</f>
        <v>938999.3827353596</v>
      </c>
    </row>
    <row r="218" spans="1:6" ht="21">
      <c r="A218" s="71" t="s">
        <v>7</v>
      </c>
      <c r="B218" s="1"/>
      <c r="C218" s="1">
        <f>B218+C217</f>
        <v>-485177.8584</v>
      </c>
      <c r="D218" s="1">
        <f>C218+D217</f>
        <v>-419137.6000480001</v>
      </c>
      <c r="E218" s="1">
        <f>D218+E217</f>
        <v>-115040.70392704027</v>
      </c>
      <c r="F218" s="49">
        <f>E218+F217</f>
        <v>823958.6788083194</v>
      </c>
    </row>
    <row r="219" spans="1:6" ht="21">
      <c r="A219" s="71"/>
      <c r="B219" s="1"/>
      <c r="C219" s="1"/>
      <c r="D219" s="1"/>
      <c r="E219" s="1"/>
      <c r="F219" s="49"/>
    </row>
    <row r="220" spans="1:6" ht="21">
      <c r="A220" s="78" t="s">
        <v>111</v>
      </c>
      <c r="B220" s="24">
        <f>$B$162/B200</f>
        <v>1.6314169622969539</v>
      </c>
      <c r="C220" s="24">
        <f>$B$162/C200</f>
        <v>-2.770571949166425</v>
      </c>
      <c r="D220" s="24">
        <f>$B$162/D200</f>
        <v>20.354556423369488</v>
      </c>
      <c r="E220" s="24">
        <f>$B$162/E200</f>
        <v>4.420367922153973</v>
      </c>
      <c r="F220" s="50">
        <f>$B$162/F200</f>
        <v>1.431545312547372</v>
      </c>
    </row>
    <row r="221" spans="1:6" ht="21">
      <c r="A221" s="71" t="s">
        <v>138</v>
      </c>
      <c r="B221" s="1">
        <f>B200</f>
        <v>823958.6788083194</v>
      </c>
      <c r="C221" s="1">
        <f>C200</f>
        <v>-485177.8584</v>
      </c>
      <c r="D221" s="1">
        <f>D200</f>
        <v>66040.25835199989</v>
      </c>
      <c r="E221" s="1">
        <f>E200</f>
        <v>304096.89612095983</v>
      </c>
      <c r="F221" s="49">
        <f>F200</f>
        <v>938999.3827353596</v>
      </c>
    </row>
    <row r="222" spans="1:6" s="28" customFormat="1" ht="21">
      <c r="A222" s="71" t="s">
        <v>112</v>
      </c>
      <c r="B222" s="1"/>
      <c r="C222" s="1">
        <f>B222+C221</f>
        <v>-485177.8584</v>
      </c>
      <c r="D222" s="1">
        <f>C222+D221</f>
        <v>-419137.6000480001</v>
      </c>
      <c r="E222" s="1">
        <f>D222+E221</f>
        <v>-115040.70392704027</v>
      </c>
      <c r="F222" s="49">
        <f>E222+F221</f>
        <v>823958.6788083194</v>
      </c>
    </row>
    <row r="223" spans="1:6" s="19" customFormat="1" ht="21">
      <c r="A223" s="71"/>
      <c r="B223" s="1"/>
      <c r="C223" s="1"/>
      <c r="D223" s="1"/>
      <c r="E223" s="1"/>
      <c r="F223" s="49"/>
    </row>
    <row r="224" spans="1:6" ht="21">
      <c r="A224" s="65" t="s">
        <v>62</v>
      </c>
      <c r="B224" s="1" t="s">
        <v>121</v>
      </c>
      <c r="D224" s="1"/>
      <c r="E224" s="1"/>
      <c r="F224" s="49"/>
    </row>
    <row r="225" spans="1:6" ht="21">
      <c r="A225" s="71" t="s">
        <v>152</v>
      </c>
      <c r="B225" s="2">
        <f>-C234-C235</f>
        <v>-485000</v>
      </c>
      <c r="C225" s="1">
        <f>C232-C234-C235-C244</f>
        <v>-242792.00000000003</v>
      </c>
      <c r="D225" s="1">
        <f>D232-D234-D235-D244</f>
        <v>374615.0399999999</v>
      </c>
      <c r="E225" s="1">
        <f>E232-E234-E235-E244</f>
        <v>543191.8079999998</v>
      </c>
      <c r="F225" s="49">
        <f>F232-F234-F235-F244</f>
        <v>1008163.9956479996</v>
      </c>
    </row>
    <row r="226" spans="1:6" ht="21">
      <c r="A226" s="70" t="s">
        <v>8</v>
      </c>
      <c r="B226" s="16"/>
      <c r="C226" s="16">
        <f>1/(1+B228)^1</f>
        <v>0.35169379186819916</v>
      </c>
      <c r="D226" s="16">
        <f>$C226*C226</f>
        <v>0.12368852323863219</v>
      </c>
      <c r="E226" s="16">
        <f>$C226*D226</f>
        <v>0.043500485748372425</v>
      </c>
      <c r="F226" s="48">
        <f>$C226*E226</f>
        <v>0.015298850780953655</v>
      </c>
    </row>
    <row r="227" spans="1:6" ht="21">
      <c r="A227" s="71" t="s">
        <v>9</v>
      </c>
      <c r="B227" s="29">
        <f>SUM(C227:F227)</f>
        <v>2.7066562324762344E-09</v>
      </c>
      <c r="C227" s="1">
        <f>C225*C226</f>
        <v>-85388.43911526381</v>
      </c>
      <c r="D227" s="1">
        <f>D225*D226</f>
        <v>46335.58108058112</v>
      </c>
      <c r="E227" s="1">
        <f>E225*E226</f>
        <v>23629.107502536644</v>
      </c>
      <c r="F227" s="49">
        <f>F225*F226</f>
        <v>15423.750532148755</v>
      </c>
    </row>
    <row r="228" spans="1:6" ht="21">
      <c r="A228" s="70" t="s">
        <v>10</v>
      </c>
      <c r="B228" s="16">
        <f>IRR(C225:F225)</f>
        <v>1.8433825763258291</v>
      </c>
      <c r="D228" s="16"/>
      <c r="E228" s="16"/>
      <c r="F228" s="48"/>
    </row>
    <row r="229" spans="1:6" ht="21">
      <c r="A229" s="71"/>
      <c r="B229" s="1"/>
      <c r="C229" s="1"/>
      <c r="D229" s="1"/>
      <c r="E229" s="1"/>
      <c r="F229" s="49"/>
    </row>
    <row r="230" spans="1:6" ht="21">
      <c r="A230" s="65" t="s">
        <v>11</v>
      </c>
      <c r="B230" s="3"/>
      <c r="C230" s="1"/>
      <c r="D230" s="1"/>
      <c r="E230" s="1"/>
      <c r="F230" s="49"/>
    </row>
    <row r="231" spans="1:6" ht="21">
      <c r="A231" s="71" t="s">
        <v>162</v>
      </c>
      <c r="B231" s="1" t="s">
        <v>27</v>
      </c>
      <c r="C231" s="1">
        <v>0</v>
      </c>
      <c r="D231" s="1">
        <f>C248</f>
        <v>-177.85840000002645</v>
      </c>
      <c r="E231" s="1">
        <f>D248</f>
        <v>65862.39995199989</v>
      </c>
      <c r="F231" s="49">
        <f>E248</f>
        <v>369959.2960729598</v>
      </c>
    </row>
    <row r="232" spans="1:6" ht="21">
      <c r="A232" s="71" t="s">
        <v>63</v>
      </c>
      <c r="B232" s="44">
        <f>SUM(C232:F232)</f>
        <v>2168178.843647999</v>
      </c>
      <c r="C232" s="1">
        <f>C173</f>
        <v>242207.99999999997</v>
      </c>
      <c r="D232" s="1">
        <f>D173</f>
        <v>374615.0399999999</v>
      </c>
      <c r="E232" s="1">
        <f>E173</f>
        <v>543191.8079999998</v>
      </c>
      <c r="F232" s="49">
        <f>F173</f>
        <v>1008163.9956479996</v>
      </c>
    </row>
    <row r="233" spans="1:6" ht="21">
      <c r="A233" s="71" t="s">
        <v>16</v>
      </c>
      <c r="B233" s="44">
        <f>SUM(C233:F233)</f>
        <v>0</v>
      </c>
      <c r="C233" s="1">
        <v>0</v>
      </c>
      <c r="D233" s="1">
        <v>0</v>
      </c>
      <c r="E233" s="1">
        <v>0</v>
      </c>
      <c r="F233" s="49">
        <v>0</v>
      </c>
    </row>
    <row r="234" spans="1:6" ht="21">
      <c r="A234" s="71" t="s">
        <v>103</v>
      </c>
      <c r="B234" s="44">
        <f>SUM(C234:F234)</f>
        <v>450000</v>
      </c>
      <c r="C234" s="1">
        <f>C157</f>
        <v>450000</v>
      </c>
      <c r="D234" s="1">
        <v>0</v>
      </c>
      <c r="E234" s="1">
        <v>0</v>
      </c>
      <c r="F234" s="49">
        <v>0</v>
      </c>
    </row>
    <row r="235" spans="1:6" ht="21">
      <c r="A235" s="71" t="s">
        <v>120</v>
      </c>
      <c r="B235" s="44">
        <f>SUM(C235:F235)</f>
        <v>35000</v>
      </c>
      <c r="C235" s="1">
        <f>C22</f>
        <v>35000</v>
      </c>
      <c r="D235" s="1">
        <f>D22</f>
        <v>0</v>
      </c>
      <c r="E235" s="1">
        <f>E22</f>
        <v>0</v>
      </c>
      <c r="F235" s="49">
        <f>F22</f>
        <v>0</v>
      </c>
    </row>
    <row r="236" spans="1:6" ht="21">
      <c r="A236" s="71" t="s">
        <v>29</v>
      </c>
      <c r="B236" s="44">
        <f>SUM(C236:F236)</f>
        <v>0</v>
      </c>
      <c r="C236" s="1">
        <f>C151</f>
        <v>0</v>
      </c>
      <c r="D236" s="1">
        <f>D151</f>
        <v>0</v>
      </c>
      <c r="E236" s="1">
        <f>E151</f>
        <v>0</v>
      </c>
      <c r="F236" s="49">
        <f>F151</f>
        <v>0</v>
      </c>
    </row>
    <row r="237" spans="1:6" ht="21">
      <c r="A237" s="72" t="s">
        <v>12</v>
      </c>
      <c r="B237" s="2"/>
      <c r="C237" s="2">
        <f>SUM(C231:C236)</f>
        <v>727208</v>
      </c>
      <c r="D237" s="2">
        <f>SUM(D231:D236)</f>
        <v>374437.1815999999</v>
      </c>
      <c r="E237" s="2">
        <f>SUM(E231:E236)</f>
        <v>609054.2079519997</v>
      </c>
      <c r="F237" s="51">
        <f>SUM(F231:F236)</f>
        <v>1378123.2917209594</v>
      </c>
    </row>
    <row r="238" spans="1:6" ht="21">
      <c r="A238" s="72"/>
      <c r="B238" s="2"/>
      <c r="C238" s="2"/>
      <c r="D238" s="2"/>
      <c r="E238" s="2"/>
      <c r="F238" s="51"/>
    </row>
    <row r="239" spans="1:6" ht="21">
      <c r="A239" s="71" t="s">
        <v>122</v>
      </c>
      <c r="B239" s="2"/>
      <c r="C239" s="1">
        <f aca="true" t="shared" si="18" ref="C239:F243">C157</f>
        <v>450000</v>
      </c>
      <c r="D239" s="1">
        <f t="shared" si="18"/>
        <v>0</v>
      </c>
      <c r="E239" s="1">
        <f t="shared" si="18"/>
        <v>0</v>
      </c>
      <c r="F239" s="49">
        <f t="shared" si="18"/>
        <v>0</v>
      </c>
    </row>
    <row r="240" spans="1:6" ht="21">
      <c r="A240" s="71" t="s">
        <v>96</v>
      </c>
      <c r="B240" s="1"/>
      <c r="C240" s="1">
        <f t="shared" si="18"/>
        <v>259239.12</v>
      </c>
      <c r="D240" s="1">
        <f t="shared" si="18"/>
        <v>288387.6464</v>
      </c>
      <c r="E240" s="1">
        <f t="shared" si="18"/>
        <v>223453.18867199993</v>
      </c>
      <c r="F240" s="49">
        <f t="shared" si="18"/>
        <v>64639.82515199998</v>
      </c>
    </row>
    <row r="241" spans="1:6" ht="21">
      <c r="A241" s="71" t="s">
        <v>123</v>
      </c>
      <c r="B241" s="1"/>
      <c r="C241" s="1">
        <f t="shared" si="18"/>
        <v>12961.956</v>
      </c>
      <c r="D241" s="1">
        <f t="shared" si="18"/>
        <v>14419.382320000002</v>
      </c>
      <c r="E241" s="1">
        <f t="shared" si="18"/>
        <v>11172.659433599998</v>
      </c>
      <c r="F241" s="49">
        <f t="shared" si="18"/>
        <v>3231.9912575999992</v>
      </c>
    </row>
    <row r="242" spans="1:6" ht="21">
      <c r="A242" s="71" t="s">
        <v>14</v>
      </c>
      <c r="B242" s="1"/>
      <c r="C242" s="1">
        <f t="shared" si="18"/>
        <v>0</v>
      </c>
      <c r="D242" s="1">
        <f t="shared" si="18"/>
        <v>0</v>
      </c>
      <c r="E242" s="1">
        <f t="shared" si="18"/>
        <v>0</v>
      </c>
      <c r="F242" s="49">
        <f t="shared" si="18"/>
        <v>0</v>
      </c>
    </row>
    <row r="243" spans="1:6" ht="21">
      <c r="A243" s="71" t="s">
        <v>15</v>
      </c>
      <c r="B243" s="1"/>
      <c r="C243" s="1">
        <f t="shared" si="18"/>
        <v>5184.7824</v>
      </c>
      <c r="D243" s="1">
        <f t="shared" si="18"/>
        <v>5767.752928000001</v>
      </c>
      <c r="E243" s="1">
        <f t="shared" si="18"/>
        <v>4469.063773439999</v>
      </c>
      <c r="F243" s="49">
        <f t="shared" si="18"/>
        <v>1292.7965030399996</v>
      </c>
    </row>
    <row r="244" spans="1:6" ht="21">
      <c r="A244" s="71" t="s">
        <v>59</v>
      </c>
      <c r="B244" s="1"/>
      <c r="C244" s="1">
        <f>C199</f>
        <v>0</v>
      </c>
      <c r="D244" s="1">
        <f>D199</f>
        <v>0</v>
      </c>
      <c r="E244" s="1">
        <f>E199</f>
        <v>0</v>
      </c>
      <c r="F244" s="49">
        <f>F199</f>
        <v>0</v>
      </c>
    </row>
    <row r="245" spans="1:6" ht="21">
      <c r="A245" s="71" t="s">
        <v>60</v>
      </c>
      <c r="B245" s="1"/>
      <c r="C245" s="1">
        <f>C207</f>
        <v>0</v>
      </c>
      <c r="D245" s="1">
        <f>D207</f>
        <v>0</v>
      </c>
      <c r="E245" s="1">
        <f>E207</f>
        <v>0</v>
      </c>
      <c r="F245" s="49">
        <f>F207</f>
        <v>0</v>
      </c>
    </row>
    <row r="246" spans="1:6" ht="21">
      <c r="A246" s="71" t="s">
        <v>61</v>
      </c>
      <c r="B246" s="1"/>
      <c r="C246" s="1">
        <f>C152</f>
        <v>0</v>
      </c>
      <c r="D246" s="1">
        <f>D152</f>
        <v>0</v>
      </c>
      <c r="E246" s="1">
        <f>E152</f>
        <v>0</v>
      </c>
      <c r="F246" s="49">
        <f>F152</f>
        <v>0</v>
      </c>
    </row>
    <row r="247" spans="1:6" ht="21">
      <c r="A247" s="72" t="s">
        <v>13</v>
      </c>
      <c r="B247" s="2"/>
      <c r="C247" s="2">
        <f>SUM(C239:C246)</f>
        <v>727385.8584</v>
      </c>
      <c r="D247" s="2">
        <f>SUM(D239:D246)</f>
        <v>308574.781648</v>
      </c>
      <c r="E247" s="2">
        <f>SUM(E239:E246)</f>
        <v>239094.91187903992</v>
      </c>
      <c r="F247" s="51">
        <f>SUM(F239:F246)</f>
        <v>69164.61291263998</v>
      </c>
    </row>
    <row r="248" spans="1:6" ht="21">
      <c r="A248" s="75" t="s">
        <v>21</v>
      </c>
      <c r="B248" s="7"/>
      <c r="C248" s="7">
        <f>C237-C247</f>
        <v>-177.85840000002645</v>
      </c>
      <c r="D248" s="7">
        <f>D237-D247</f>
        <v>65862.39995199989</v>
      </c>
      <c r="E248" s="7">
        <f>E237-E247</f>
        <v>369959.2960729598</v>
      </c>
      <c r="F248" s="54">
        <f>F237-F247</f>
        <v>1308958.6788083194</v>
      </c>
    </row>
    <row r="249" spans="1:6" ht="21">
      <c r="A249" s="71"/>
      <c r="B249" s="1"/>
      <c r="C249" s="1"/>
      <c r="D249" s="1"/>
      <c r="E249" s="1"/>
      <c r="F249" s="49"/>
    </row>
    <row r="250" spans="1:6" ht="21">
      <c r="A250" s="65" t="s">
        <v>46</v>
      </c>
      <c r="B250" s="3"/>
      <c r="C250" s="1"/>
      <c r="D250" s="1"/>
      <c r="E250" s="1"/>
      <c r="F250" s="49"/>
    </row>
    <row r="251" spans="1:6" ht="21">
      <c r="A251" s="71" t="s">
        <v>162</v>
      </c>
      <c r="B251" s="1"/>
      <c r="C251" s="16">
        <f aca="true" t="shared" si="19" ref="C251:F256">C231/C$237</f>
        <v>0</v>
      </c>
      <c r="D251" s="16">
        <f t="shared" si="19"/>
        <v>-0.0004750019729344809</v>
      </c>
      <c r="E251" s="16">
        <f t="shared" si="19"/>
        <v>0.10813881439793054</v>
      </c>
      <c r="F251" s="48">
        <f t="shared" si="19"/>
        <v>0.26845152265800953</v>
      </c>
    </row>
    <row r="252" spans="1:6" ht="21">
      <c r="A252" s="71" t="s">
        <v>63</v>
      </c>
      <c r="B252" s="29"/>
      <c r="C252" s="16">
        <f t="shared" si="19"/>
        <v>0.3330656428422129</v>
      </c>
      <c r="D252" s="16">
        <f t="shared" si="19"/>
        <v>1.0004750019729345</v>
      </c>
      <c r="E252" s="16">
        <f t="shared" si="19"/>
        <v>0.8918611856020695</v>
      </c>
      <c r="F252" s="48">
        <f t="shared" si="19"/>
        <v>0.7315484773419905</v>
      </c>
    </row>
    <row r="253" spans="1:6" ht="21">
      <c r="A253" s="71" t="s">
        <v>16</v>
      </c>
      <c r="B253" s="29"/>
      <c r="C253" s="16">
        <f t="shared" si="19"/>
        <v>0</v>
      </c>
      <c r="D253" s="16">
        <f t="shared" si="19"/>
        <v>0</v>
      </c>
      <c r="E253" s="16">
        <f t="shared" si="19"/>
        <v>0</v>
      </c>
      <c r="F253" s="48">
        <f t="shared" si="19"/>
        <v>0</v>
      </c>
    </row>
    <row r="254" spans="1:6" ht="21">
      <c r="A254" s="71" t="s">
        <v>103</v>
      </c>
      <c r="B254" s="29"/>
      <c r="C254" s="16">
        <f t="shared" si="19"/>
        <v>0.618805073651555</v>
      </c>
      <c r="D254" s="16">
        <f t="shared" si="19"/>
        <v>0</v>
      </c>
      <c r="E254" s="16">
        <f t="shared" si="19"/>
        <v>0</v>
      </c>
      <c r="F254" s="48">
        <f t="shared" si="19"/>
        <v>0</v>
      </c>
    </row>
    <row r="255" spans="1:6" ht="21">
      <c r="A255" s="71" t="s">
        <v>120</v>
      </c>
      <c r="B255" s="29"/>
      <c r="C255" s="16">
        <f t="shared" si="19"/>
        <v>0.04812928350623205</v>
      </c>
      <c r="D255" s="16">
        <f t="shared" si="19"/>
        <v>0</v>
      </c>
      <c r="E255" s="16">
        <f t="shared" si="19"/>
        <v>0</v>
      </c>
      <c r="F255" s="48">
        <f t="shared" si="19"/>
        <v>0</v>
      </c>
    </row>
    <row r="256" spans="1:6" ht="21">
      <c r="A256" s="71" t="s">
        <v>29</v>
      </c>
      <c r="B256" s="29"/>
      <c r="C256" s="16">
        <f t="shared" si="19"/>
        <v>0</v>
      </c>
      <c r="D256" s="16">
        <f t="shared" si="19"/>
        <v>0</v>
      </c>
      <c r="E256" s="16">
        <f t="shared" si="19"/>
        <v>0</v>
      </c>
      <c r="F256" s="48">
        <f t="shared" si="19"/>
        <v>0</v>
      </c>
    </row>
    <row r="257" spans="1:6" ht="21">
      <c r="A257" s="72" t="s">
        <v>12</v>
      </c>
      <c r="B257" s="2"/>
      <c r="C257" s="30">
        <f>SUM(C251:C256)</f>
        <v>0.9999999999999999</v>
      </c>
      <c r="D257" s="30">
        <f>SUM(D251:D256)</f>
        <v>1</v>
      </c>
      <c r="E257" s="30">
        <f>SUM(E251:E256)</f>
        <v>1</v>
      </c>
      <c r="F257" s="57">
        <f>SUM(F251:F256)</f>
        <v>1</v>
      </c>
    </row>
    <row r="258" spans="1:6" ht="21">
      <c r="A258" s="72"/>
      <c r="B258" s="2"/>
      <c r="C258" s="2"/>
      <c r="D258" s="2"/>
      <c r="E258" s="2"/>
      <c r="F258" s="51"/>
    </row>
    <row r="259" spans="1:6" ht="21">
      <c r="A259" s="71" t="s">
        <v>122</v>
      </c>
      <c r="B259" s="2"/>
      <c r="C259" s="16">
        <f aca="true" t="shared" si="20" ref="C259:F267">C239/C$247</f>
        <v>0.6186537651279693</v>
      </c>
      <c r="D259" s="16">
        <f t="shared" si="20"/>
        <v>0</v>
      </c>
      <c r="E259" s="16">
        <f t="shared" si="20"/>
        <v>0</v>
      </c>
      <c r="F259" s="48">
        <f t="shared" si="20"/>
        <v>0</v>
      </c>
    </row>
    <row r="260" spans="1:6" ht="21">
      <c r="A260" s="71" t="s">
        <v>96</v>
      </c>
      <c r="B260" s="1"/>
      <c r="C260" s="16">
        <f t="shared" si="20"/>
        <v>0.3563983503476921</v>
      </c>
      <c r="D260" s="16">
        <f t="shared" si="20"/>
        <v>0.9345794392523366</v>
      </c>
      <c r="E260" s="16">
        <f t="shared" si="20"/>
        <v>0.9345794392523364</v>
      </c>
      <c r="F260" s="48">
        <f t="shared" si="20"/>
        <v>0.9345794392523366</v>
      </c>
    </row>
    <row r="261" spans="1:6" ht="21">
      <c r="A261" s="71" t="s">
        <v>123</v>
      </c>
      <c r="B261" s="1"/>
      <c r="C261" s="16">
        <f t="shared" si="20"/>
        <v>0.01781991751738461</v>
      </c>
      <c r="D261" s="16">
        <f t="shared" si="20"/>
        <v>0.04672897196261683</v>
      </c>
      <c r="E261" s="16">
        <f t="shared" si="20"/>
        <v>0.04672897196261683</v>
      </c>
      <c r="F261" s="48">
        <f t="shared" si="20"/>
        <v>0.04672897196261683</v>
      </c>
    </row>
    <row r="262" spans="1:6" ht="21">
      <c r="A262" s="71" t="s">
        <v>14</v>
      </c>
      <c r="B262" s="1"/>
      <c r="C262" s="16">
        <f t="shared" si="20"/>
        <v>0</v>
      </c>
      <c r="D262" s="16">
        <f t="shared" si="20"/>
        <v>0</v>
      </c>
      <c r="E262" s="16">
        <f t="shared" si="20"/>
        <v>0</v>
      </c>
      <c r="F262" s="48">
        <f t="shared" si="20"/>
        <v>0</v>
      </c>
    </row>
    <row r="263" spans="1:6" ht="21">
      <c r="A263" s="71" t="s">
        <v>15</v>
      </c>
      <c r="B263" s="1"/>
      <c r="C263" s="16">
        <f t="shared" si="20"/>
        <v>0.007127967006953843</v>
      </c>
      <c r="D263" s="16">
        <f t="shared" si="20"/>
        <v>0.01869158878504673</v>
      </c>
      <c r="E263" s="16">
        <f t="shared" si="20"/>
        <v>0.01869158878504673</v>
      </c>
      <c r="F263" s="48">
        <f t="shared" si="20"/>
        <v>0.01869158878504673</v>
      </c>
    </row>
    <row r="264" spans="1:6" ht="21">
      <c r="A264" s="71" t="s">
        <v>59</v>
      </c>
      <c r="B264" s="1"/>
      <c r="C264" s="16">
        <f t="shared" si="20"/>
        <v>0</v>
      </c>
      <c r="D264" s="16">
        <f t="shared" si="20"/>
        <v>0</v>
      </c>
      <c r="E264" s="16">
        <f t="shared" si="20"/>
        <v>0</v>
      </c>
      <c r="F264" s="48">
        <f t="shared" si="20"/>
        <v>0</v>
      </c>
    </row>
    <row r="265" spans="1:6" ht="21">
      <c r="A265" s="71" t="s">
        <v>60</v>
      </c>
      <c r="B265" s="1"/>
      <c r="C265" s="16">
        <f t="shared" si="20"/>
        <v>0</v>
      </c>
      <c r="D265" s="16">
        <f t="shared" si="20"/>
        <v>0</v>
      </c>
      <c r="E265" s="16">
        <f t="shared" si="20"/>
        <v>0</v>
      </c>
      <c r="F265" s="48">
        <f t="shared" si="20"/>
        <v>0</v>
      </c>
    </row>
    <row r="266" spans="1:6" ht="21">
      <c r="A266" s="71" t="s">
        <v>61</v>
      </c>
      <c r="B266" s="1"/>
      <c r="C266" s="16">
        <f t="shared" si="20"/>
        <v>0</v>
      </c>
      <c r="D266" s="16">
        <f t="shared" si="20"/>
        <v>0</v>
      </c>
      <c r="E266" s="16">
        <f t="shared" si="20"/>
        <v>0</v>
      </c>
      <c r="F266" s="48">
        <f t="shared" si="20"/>
        <v>0</v>
      </c>
    </row>
    <row r="267" spans="1:6" ht="21">
      <c r="A267" s="72" t="s">
        <v>13</v>
      </c>
      <c r="B267" s="2"/>
      <c r="C267" s="20">
        <f t="shared" si="20"/>
        <v>1</v>
      </c>
      <c r="D267" s="20">
        <f t="shared" si="20"/>
        <v>1</v>
      </c>
      <c r="E267" s="20">
        <f t="shared" si="20"/>
        <v>1</v>
      </c>
      <c r="F267" s="52">
        <f t="shared" si="20"/>
        <v>1</v>
      </c>
    </row>
    <row r="268" spans="1:6" ht="21.75" thickBot="1">
      <c r="A268" s="79" t="s">
        <v>21</v>
      </c>
      <c r="B268" s="58"/>
      <c r="C268" s="59">
        <f>C248/C247</f>
        <v>-0.00024451726404367286</v>
      </c>
      <c r="D268" s="59">
        <f>D248/D247</f>
        <v>0.2134406434649316</v>
      </c>
      <c r="E268" s="59">
        <f>E248/E247</f>
        <v>1.5473323675751212</v>
      </c>
      <c r="F268" s="60">
        <f>F248/F247</f>
        <v>18.925265734684746</v>
      </c>
    </row>
    <row r="269" ht="21.75" thickTop="1">
      <c r="A269" s="80"/>
    </row>
    <row r="270" ht="21">
      <c r="A270" s="80"/>
    </row>
    <row r="271" ht="21">
      <c r="A271" s="80"/>
    </row>
    <row r="272" ht="21">
      <c r="A272" s="80"/>
    </row>
    <row r="273" ht="21">
      <c r="A273" s="80"/>
    </row>
    <row r="274" ht="21">
      <c r="A274" s="80"/>
    </row>
    <row r="275" ht="21">
      <c r="A275" s="80"/>
    </row>
    <row r="276" ht="21">
      <c r="A276" s="80"/>
    </row>
    <row r="277" ht="21">
      <c r="A277" s="80"/>
    </row>
    <row r="278" ht="21">
      <c r="A278" s="80"/>
    </row>
    <row r="279" ht="21">
      <c r="A279" s="80"/>
    </row>
    <row r="280" ht="21">
      <c r="A280" s="80"/>
    </row>
    <row r="281" ht="21">
      <c r="A281" s="80"/>
    </row>
    <row r="282" ht="21">
      <c r="A282" s="80"/>
    </row>
    <row r="283" ht="21">
      <c r="A283" s="80"/>
    </row>
    <row r="284" ht="21">
      <c r="A284" s="80"/>
    </row>
    <row r="285" ht="21">
      <c r="A285" s="80"/>
    </row>
    <row r="286" ht="21">
      <c r="A286" s="80"/>
    </row>
    <row r="287" ht="21">
      <c r="A287" s="80"/>
    </row>
    <row r="288" ht="21">
      <c r="A288" s="80"/>
    </row>
    <row r="289" ht="21">
      <c r="A289" s="80"/>
    </row>
    <row r="290" ht="21">
      <c r="A290" s="80"/>
    </row>
    <row r="291" ht="21">
      <c r="A291" s="80"/>
    </row>
    <row r="292" ht="21">
      <c r="A292" s="80"/>
    </row>
    <row r="293" ht="21">
      <c r="A293" s="80"/>
    </row>
    <row r="294" ht="21">
      <c r="A294" s="80"/>
    </row>
    <row r="295" ht="21">
      <c r="A295" s="80"/>
    </row>
    <row r="296" ht="21">
      <c r="A296" s="80"/>
    </row>
    <row r="297" ht="21">
      <c r="A297" s="80"/>
    </row>
    <row r="298" ht="21">
      <c r="A298" s="80"/>
    </row>
    <row r="299" ht="21">
      <c r="A299" s="80"/>
    </row>
    <row r="300" ht="21">
      <c r="A300" s="80"/>
    </row>
    <row r="301" ht="21">
      <c r="A301" s="80"/>
    </row>
    <row r="302" ht="21">
      <c r="A302" s="80"/>
    </row>
    <row r="303" ht="21">
      <c r="A303" s="80"/>
    </row>
    <row r="304" ht="21">
      <c r="A304" s="80"/>
    </row>
    <row r="305" ht="21">
      <c r="A305" s="80"/>
    </row>
    <row r="306" ht="21">
      <c r="A306" s="80"/>
    </row>
    <row r="307" ht="21">
      <c r="A307" s="80"/>
    </row>
    <row r="308" ht="21">
      <c r="A308" s="80"/>
    </row>
    <row r="309" ht="21">
      <c r="A309" s="80"/>
    </row>
    <row r="310" ht="21">
      <c r="A310" s="80"/>
    </row>
    <row r="311" ht="21">
      <c r="A311" s="80"/>
    </row>
    <row r="312" ht="21">
      <c r="A312" s="80"/>
    </row>
    <row r="313" ht="21">
      <c r="A313" s="80"/>
    </row>
    <row r="314" ht="21">
      <c r="A314" s="80"/>
    </row>
    <row r="315" ht="21">
      <c r="A315" s="80"/>
    </row>
    <row r="316" ht="21">
      <c r="A316" s="80"/>
    </row>
    <row r="317" ht="21">
      <c r="A317" s="80"/>
    </row>
    <row r="318" ht="21">
      <c r="A318" s="80"/>
    </row>
    <row r="319" ht="21">
      <c r="A319" s="80"/>
    </row>
    <row r="320" ht="21">
      <c r="A320" s="80"/>
    </row>
    <row r="321" ht="21">
      <c r="A321" s="80"/>
    </row>
    <row r="322" ht="21">
      <c r="A322" s="80"/>
    </row>
    <row r="323" ht="21">
      <c r="A323" s="80"/>
    </row>
    <row r="324" ht="21">
      <c r="A324" s="80"/>
    </row>
    <row r="325" ht="21">
      <c r="A325" s="80"/>
    </row>
    <row r="326" ht="21">
      <c r="A326" s="80"/>
    </row>
    <row r="327" ht="21">
      <c r="A327" s="80"/>
    </row>
  </sheetData>
  <mergeCells count="11">
    <mergeCell ref="A11:B11"/>
    <mergeCell ref="A2:F2"/>
    <mergeCell ref="A3:F3"/>
    <mergeCell ref="A4:F4"/>
    <mergeCell ref="A5:F5"/>
    <mergeCell ref="A6:F6"/>
    <mergeCell ref="A7:F7"/>
    <mergeCell ref="A10:F10"/>
    <mergeCell ref="A9:F9"/>
    <mergeCell ref="A8:F8"/>
    <mergeCell ref="A1:F1"/>
  </mergeCells>
  <conditionalFormatting sqref="C189:F189 C187:F187">
    <cfRule type="cellIs" priority="1" dxfId="0" operator="lessThan" stopIfTrue="1">
      <formula>0</formula>
    </cfRule>
  </conditionalFormatting>
  <conditionalFormatting sqref="C188:F188">
    <cfRule type="cellIs" priority="2" dxfId="1" operator="lessThan" stopIfTrue="1">
      <formula>0</formula>
    </cfRule>
  </conditionalFormatting>
  <printOptions gridLines="1" horizontalCentered="1" verticalCentered="1"/>
  <pageMargins left="0.5" right="0.5" top="0.75" bottom="0.6" header="0.35" footer="0.35"/>
  <pageSetup horizontalDpi="600" verticalDpi="600" orientation="portrait" paperSize="9" r:id="rId1"/>
  <headerFooter alignWithMargins="0">
    <oddHeader>&amp;L&amp;"B Kamran,Regular"&amp;14شركت سرمايه‌گذاري ساختمان و صنعت</oddHeader>
    <oddFooter>&amp;R&amp;"B Kamran,Regular"&amp;12صفحة &amp;P از &amp;N صفحه</oddFooter>
  </headerFooter>
</worksheet>
</file>

<file path=xl/worksheets/sheet2.xml><?xml version="1.0" encoding="utf-8"?>
<worksheet xmlns="http://schemas.openxmlformats.org/spreadsheetml/2006/main" xmlns:r="http://schemas.openxmlformats.org/officeDocument/2006/relationships">
  <sheetPr>
    <tabColor indexed="13"/>
  </sheetPr>
  <dimension ref="A1:K327"/>
  <sheetViews>
    <sheetView rightToLeft="1" tabSelected="1" workbookViewId="0" topLeftCell="A15">
      <selection activeCell="A11" sqref="A11:B11"/>
    </sheetView>
  </sheetViews>
  <sheetFormatPr defaultColWidth="9.140625" defaultRowHeight="12.75"/>
  <cols>
    <col min="1" max="1" width="42.00390625" style="67" customWidth="1"/>
    <col min="2" max="2" width="9.57421875" style="23" customWidth="1"/>
    <col min="3" max="4" width="10.57421875" style="13" bestFit="1" customWidth="1"/>
    <col min="5" max="5" width="10.28125" style="13" bestFit="1" customWidth="1"/>
    <col min="6" max="6" width="10.57421875" style="13" bestFit="1" customWidth="1"/>
    <col min="7" max="16384" width="9.140625" style="13" customWidth="1"/>
  </cols>
  <sheetData>
    <row r="1" spans="1:11" s="62" customFormat="1" ht="35.25" customHeight="1" thickBot="1" thickTop="1">
      <c r="A1" s="84" t="s">
        <v>117</v>
      </c>
      <c r="B1" s="85"/>
      <c r="C1" s="85"/>
      <c r="D1" s="85"/>
      <c r="E1" s="85"/>
      <c r="F1" s="86"/>
      <c r="G1" s="61"/>
      <c r="H1" s="61"/>
      <c r="I1" s="61"/>
      <c r="J1" s="61"/>
      <c r="K1" s="61"/>
    </row>
    <row r="2" spans="1:11" s="63" customFormat="1" ht="32.25" customHeight="1" thickTop="1">
      <c r="A2" s="89" t="s">
        <v>153</v>
      </c>
      <c r="B2" s="90"/>
      <c r="C2" s="90"/>
      <c r="D2" s="90"/>
      <c r="E2" s="90"/>
      <c r="F2" s="90"/>
      <c r="G2" s="61"/>
      <c r="H2" s="61"/>
      <c r="I2" s="61"/>
      <c r="J2" s="61"/>
      <c r="K2" s="61"/>
    </row>
    <row r="3" spans="1:11" s="63" customFormat="1" ht="47.25" customHeight="1">
      <c r="A3" s="83" t="s">
        <v>156</v>
      </c>
      <c r="B3" s="83"/>
      <c r="C3" s="83"/>
      <c r="D3" s="83"/>
      <c r="E3" s="83"/>
      <c r="F3" s="83"/>
      <c r="G3" s="61"/>
      <c r="H3" s="61"/>
      <c r="I3" s="61"/>
      <c r="J3" s="61"/>
      <c r="K3" s="61"/>
    </row>
    <row r="4" spans="1:11" s="63" customFormat="1" ht="22.5" customHeight="1">
      <c r="A4" s="83" t="s">
        <v>157</v>
      </c>
      <c r="B4" s="83"/>
      <c r="C4" s="83"/>
      <c r="D4" s="83"/>
      <c r="E4" s="83"/>
      <c r="F4" s="83"/>
      <c r="G4" s="61"/>
      <c r="H4" s="61"/>
      <c r="I4" s="61"/>
      <c r="J4" s="61"/>
      <c r="K4" s="61"/>
    </row>
    <row r="5" spans="1:11" s="63" customFormat="1" ht="48.75" customHeight="1">
      <c r="A5" s="83" t="s">
        <v>158</v>
      </c>
      <c r="B5" s="83"/>
      <c r="C5" s="83"/>
      <c r="D5" s="83"/>
      <c r="E5" s="83"/>
      <c r="F5" s="83"/>
      <c r="G5" s="61"/>
      <c r="H5" s="61"/>
      <c r="I5" s="61"/>
      <c r="J5" s="61"/>
      <c r="K5" s="61"/>
    </row>
    <row r="6" spans="1:11" s="63" customFormat="1" ht="21" customHeight="1">
      <c r="A6" s="83" t="s">
        <v>159</v>
      </c>
      <c r="B6" s="83"/>
      <c r="C6" s="83"/>
      <c r="D6" s="83"/>
      <c r="E6" s="83"/>
      <c r="F6" s="83"/>
      <c r="G6" s="61"/>
      <c r="H6" s="61"/>
      <c r="I6" s="61"/>
      <c r="J6" s="61"/>
      <c r="K6" s="61"/>
    </row>
    <row r="7" spans="1:11" s="63" customFormat="1" ht="22.5" customHeight="1">
      <c r="A7" s="83" t="s">
        <v>160</v>
      </c>
      <c r="B7" s="83"/>
      <c r="C7" s="83"/>
      <c r="D7" s="83"/>
      <c r="E7" s="83"/>
      <c r="F7" s="83"/>
      <c r="G7" s="61"/>
      <c r="H7" s="61"/>
      <c r="I7" s="61"/>
      <c r="J7" s="61"/>
      <c r="K7" s="61"/>
    </row>
    <row r="8" spans="1:11" s="63" customFormat="1" ht="22.5" customHeight="1">
      <c r="A8" s="83" t="s">
        <v>161</v>
      </c>
      <c r="B8" s="83"/>
      <c r="C8" s="83"/>
      <c r="D8" s="83"/>
      <c r="E8" s="83"/>
      <c r="F8" s="83"/>
      <c r="G8" s="61"/>
      <c r="H8" s="61"/>
      <c r="I8" s="61"/>
      <c r="J8" s="61"/>
      <c r="K8" s="61"/>
    </row>
    <row r="9" spans="1:11" s="63" customFormat="1" ht="22.5" customHeight="1">
      <c r="A9" s="83" t="s">
        <v>155</v>
      </c>
      <c r="B9" s="83"/>
      <c r="C9" s="83"/>
      <c r="D9" s="83"/>
      <c r="E9" s="83"/>
      <c r="F9" s="83"/>
      <c r="G9" s="61"/>
      <c r="H9" s="61"/>
      <c r="I9" s="61"/>
      <c r="J9" s="61"/>
      <c r="K9" s="61"/>
    </row>
    <row r="10" spans="1:11" s="63" customFormat="1" ht="137.25" customHeight="1" thickBot="1">
      <c r="A10" s="82" t="s">
        <v>154</v>
      </c>
      <c r="B10" s="82"/>
      <c r="C10" s="82"/>
      <c r="D10" s="82"/>
      <c r="E10" s="82"/>
      <c r="F10" s="82"/>
      <c r="G10" s="61"/>
      <c r="H10" s="61"/>
      <c r="I10" s="61"/>
      <c r="J10" s="61"/>
      <c r="K10" s="61"/>
    </row>
    <row r="11" spans="1:6" s="43" customFormat="1" ht="30" thickBot="1" thickTop="1">
      <c r="A11" s="87" t="s">
        <v>170</v>
      </c>
      <c r="B11" s="88"/>
      <c r="C11" s="68" t="s">
        <v>113</v>
      </c>
      <c r="D11" s="68" t="s">
        <v>114</v>
      </c>
      <c r="E11" s="68" t="s">
        <v>115</v>
      </c>
      <c r="F11" s="69" t="s">
        <v>116</v>
      </c>
    </row>
    <row r="12" spans="1:6" s="15" customFormat="1" ht="21.75" thickTop="1">
      <c r="A12" s="64" t="s">
        <v>1</v>
      </c>
      <c r="B12" s="26"/>
      <c r="C12" s="14"/>
      <c r="D12" s="14"/>
      <c r="E12" s="14"/>
      <c r="F12" s="47"/>
    </row>
    <row r="13" spans="1:6" s="17" customFormat="1" ht="21">
      <c r="A13" s="70" t="s">
        <v>2</v>
      </c>
      <c r="B13" s="16"/>
      <c r="C13" s="16">
        <v>0.16</v>
      </c>
      <c r="D13" s="16">
        <v>0.16</v>
      </c>
      <c r="E13" s="16">
        <v>0.16</v>
      </c>
      <c r="F13" s="48">
        <v>0.16</v>
      </c>
    </row>
    <row r="14" spans="1:6" s="17" customFormat="1" ht="21">
      <c r="A14" s="70" t="s">
        <v>90</v>
      </c>
      <c r="B14" s="16"/>
      <c r="C14" s="16">
        <v>0.22</v>
      </c>
      <c r="D14" s="16">
        <v>0.22</v>
      </c>
      <c r="E14" s="16">
        <v>0.22</v>
      </c>
      <c r="F14" s="48">
        <v>0.22</v>
      </c>
    </row>
    <row r="15" spans="1:6" s="4" customFormat="1" ht="21">
      <c r="A15" s="71" t="s">
        <v>68</v>
      </c>
      <c r="B15" s="1">
        <v>45000</v>
      </c>
      <c r="D15" s="1" t="s">
        <v>0</v>
      </c>
      <c r="E15" s="1" t="s">
        <v>0</v>
      </c>
      <c r="F15" s="49" t="s">
        <v>0</v>
      </c>
    </row>
    <row r="16" spans="1:6" s="4" customFormat="1" ht="21">
      <c r="A16" s="71" t="s">
        <v>67</v>
      </c>
      <c r="B16" s="1">
        <v>54000</v>
      </c>
      <c r="C16" s="1"/>
      <c r="D16" s="1"/>
      <c r="E16" s="1"/>
      <c r="F16" s="49"/>
    </row>
    <row r="17" spans="1:6" s="4" customFormat="1" ht="21">
      <c r="A17" s="71" t="s">
        <v>66</v>
      </c>
      <c r="B17" s="1">
        <v>106000</v>
      </c>
      <c r="C17" s="1"/>
      <c r="D17" s="1"/>
      <c r="E17" s="1"/>
      <c r="F17" s="49"/>
    </row>
    <row r="18" spans="1:6" s="4" customFormat="1" ht="21">
      <c r="A18" s="71" t="s">
        <v>69</v>
      </c>
      <c r="B18" s="1">
        <f>B16+B17</f>
        <v>160000</v>
      </c>
      <c r="C18" s="1"/>
      <c r="D18" s="1"/>
      <c r="E18" s="1"/>
      <c r="F18" s="49"/>
    </row>
    <row r="19" spans="1:6" s="4" customFormat="1" ht="21">
      <c r="A19" s="71" t="s">
        <v>124</v>
      </c>
      <c r="B19" s="24">
        <v>18.441233963577748</v>
      </c>
      <c r="C19" s="1"/>
      <c r="D19" s="1"/>
      <c r="E19" s="1"/>
      <c r="F19" s="49"/>
    </row>
    <row r="20" spans="1:6" s="4" customFormat="1" ht="21">
      <c r="A20" s="71" t="s">
        <v>70</v>
      </c>
      <c r="B20" s="1">
        <f>B19*B15</f>
        <v>829855.5283609986</v>
      </c>
      <c r="C20" s="1"/>
      <c r="D20" s="1"/>
      <c r="E20" s="1"/>
      <c r="F20" s="49"/>
    </row>
    <row r="21" spans="1:6" s="4" customFormat="1" ht="21">
      <c r="A21" s="71" t="s">
        <v>99</v>
      </c>
      <c r="B21" s="1">
        <f>SUM(C21:F21)</f>
        <v>1820000</v>
      </c>
      <c r="C21" s="1">
        <f>4*C22</f>
        <v>280000</v>
      </c>
      <c r="D21" s="1">
        <f>4*D22</f>
        <v>400000</v>
      </c>
      <c r="E21" s="1">
        <f>4*E22</f>
        <v>1140000</v>
      </c>
      <c r="F21" s="49">
        <v>0</v>
      </c>
    </row>
    <row r="22" spans="1:6" s="4" customFormat="1" ht="21">
      <c r="A22" s="71" t="s">
        <v>104</v>
      </c>
      <c r="B22" s="1">
        <f>SUM(C22:F22)</f>
        <v>455000</v>
      </c>
      <c r="C22" s="1">
        <v>70000</v>
      </c>
      <c r="D22" s="1">
        <v>100000</v>
      </c>
      <c r="E22" s="1">
        <v>285000</v>
      </c>
      <c r="F22" s="49">
        <v>0</v>
      </c>
    </row>
    <row r="23" spans="1:6" s="4" customFormat="1" ht="21">
      <c r="A23" s="71"/>
      <c r="B23" s="1"/>
      <c r="C23" s="1"/>
      <c r="D23" s="1"/>
      <c r="E23" s="1"/>
      <c r="F23" s="49"/>
    </row>
    <row r="24" spans="1:6" s="19" customFormat="1" ht="21">
      <c r="A24" s="71" t="s">
        <v>92</v>
      </c>
      <c r="B24" s="20">
        <f>SUM(C24:F24)</f>
        <v>1</v>
      </c>
      <c r="C24" s="16">
        <v>0</v>
      </c>
      <c r="D24" s="41">
        <v>0</v>
      </c>
      <c r="E24" s="41">
        <v>0</v>
      </c>
      <c r="F24" s="48">
        <v>1</v>
      </c>
    </row>
    <row r="25" spans="1:6" s="19" customFormat="1" ht="21">
      <c r="A25" s="71" t="s">
        <v>141</v>
      </c>
      <c r="B25" s="20">
        <f>SUM(C25:F25)</f>
        <v>0.9999999999999999</v>
      </c>
      <c r="C25" s="16">
        <f>C170</f>
        <v>0.5233220987556672</v>
      </c>
      <c r="D25" s="16">
        <f>D170</f>
        <v>0.21740574758263323</v>
      </c>
      <c r="E25" s="16">
        <f>E170</f>
        <v>0.22845293118105314</v>
      </c>
      <c r="F25" s="48">
        <f>F170</f>
        <v>0.030819222480646377</v>
      </c>
    </row>
    <row r="26" spans="1:6" s="4" customFormat="1" ht="21">
      <c r="A26" s="71" t="s">
        <v>151</v>
      </c>
      <c r="B26" s="24">
        <v>8.7</v>
      </c>
      <c r="C26" s="24">
        <f>(1+C13)*B26</f>
        <v>10.091999999999999</v>
      </c>
      <c r="D26" s="24">
        <f>(1+D13)*C26</f>
        <v>11.706719999999997</v>
      </c>
      <c r="E26" s="24">
        <f>(1+E13)*D26</f>
        <v>13.579795199999996</v>
      </c>
      <c r="F26" s="50">
        <f>(1+F13)*E26</f>
        <v>15.752562431999994</v>
      </c>
    </row>
    <row r="27" spans="1:6" s="4" customFormat="1" ht="21">
      <c r="A27" s="71" t="s">
        <v>143</v>
      </c>
      <c r="B27" s="2">
        <f>SUM(C27:F27)</f>
        <v>160000</v>
      </c>
      <c r="C27" s="1">
        <f>C24*$B$18</f>
        <v>0</v>
      </c>
      <c r="D27" s="1">
        <f>D24*$B$18</f>
        <v>0</v>
      </c>
      <c r="E27" s="1">
        <f>E24*$B$18</f>
        <v>0</v>
      </c>
      <c r="F27" s="49">
        <f>F24*$B$18</f>
        <v>160000</v>
      </c>
    </row>
    <row r="28" spans="1:6" s="4" customFormat="1" ht="21">
      <c r="A28" s="71" t="s">
        <v>144</v>
      </c>
      <c r="B28" s="2">
        <f>SUM(C28:F28)</f>
        <v>2520409.989119999</v>
      </c>
      <c r="C28" s="1">
        <f>C27*C26</f>
        <v>0</v>
      </c>
      <c r="D28" s="1">
        <f>D27*D26</f>
        <v>0</v>
      </c>
      <c r="E28" s="1">
        <f>E27*E26</f>
        <v>0</v>
      </c>
      <c r="F28" s="49">
        <f>F27*F26</f>
        <v>2520409.989119999</v>
      </c>
    </row>
    <row r="29" spans="1:6" s="4" customFormat="1" ht="21">
      <c r="A29" s="71"/>
      <c r="B29" s="2"/>
      <c r="C29" s="1"/>
      <c r="D29" s="1"/>
      <c r="E29" s="1"/>
      <c r="F29" s="49"/>
    </row>
    <row r="30" spans="1:6" s="4" customFormat="1" ht="21">
      <c r="A30" s="64" t="s">
        <v>148</v>
      </c>
      <c r="B30" s="2"/>
      <c r="C30" s="1"/>
      <c r="D30" s="1"/>
      <c r="E30" s="1"/>
      <c r="F30" s="49"/>
    </row>
    <row r="31" spans="1:6" s="19" customFormat="1" ht="21">
      <c r="A31" s="71" t="s">
        <v>142</v>
      </c>
      <c r="B31" s="2">
        <f>SUM(C31:F31)</f>
        <v>0</v>
      </c>
      <c r="C31" s="1">
        <f>$C$28*C25</f>
        <v>0</v>
      </c>
      <c r="D31" s="1">
        <f>$C$28*D25</f>
        <v>0</v>
      </c>
      <c r="E31" s="1">
        <f>$C$28*E25</f>
        <v>0</v>
      </c>
      <c r="F31" s="49">
        <f>$C$28*F25</f>
        <v>0</v>
      </c>
    </row>
    <row r="32" spans="1:6" s="19" customFormat="1" ht="21">
      <c r="A32" s="71" t="s">
        <v>145</v>
      </c>
      <c r="B32" s="2">
        <f>SUM(C32:F32)</f>
        <v>0</v>
      </c>
      <c r="C32" s="1">
        <v>0</v>
      </c>
      <c r="D32" s="1">
        <f>$D$28*(D25+C25)</f>
        <v>0</v>
      </c>
      <c r="E32" s="1">
        <f>$D$28*E25</f>
        <v>0</v>
      </c>
      <c r="F32" s="49">
        <f>$D$28*F25</f>
        <v>0</v>
      </c>
    </row>
    <row r="33" spans="1:6" s="19" customFormat="1" ht="21">
      <c r="A33" s="71" t="s">
        <v>146</v>
      </c>
      <c r="B33" s="2">
        <f>SUM(C33:F33)</f>
        <v>0</v>
      </c>
      <c r="C33" s="1">
        <v>0</v>
      </c>
      <c r="D33" s="1">
        <v>0</v>
      </c>
      <c r="E33" s="1">
        <f>$E$28*(E25+D25+C25)</f>
        <v>0</v>
      </c>
      <c r="F33" s="49">
        <f>$E$28*F25</f>
        <v>0</v>
      </c>
    </row>
    <row r="34" spans="1:6" s="19" customFormat="1" ht="21">
      <c r="A34" s="71" t="s">
        <v>147</v>
      </c>
      <c r="B34" s="2">
        <f>SUM(C34:F34)</f>
        <v>2520409.9891199986</v>
      </c>
      <c r="C34" s="1">
        <v>0</v>
      </c>
      <c r="D34" s="1">
        <v>0</v>
      </c>
      <c r="E34" s="1"/>
      <c r="F34" s="49">
        <f>$F$28*(F25+E25+D25+C25)</f>
        <v>2520409.9891199986</v>
      </c>
    </row>
    <row r="35" spans="1:6" s="19" customFormat="1" ht="21">
      <c r="A35" s="71"/>
      <c r="B35" s="2">
        <f>SUM(C35:F35)</f>
        <v>2520409.9891199986</v>
      </c>
      <c r="C35" s="2">
        <f>SUM(C31:C34)</f>
        <v>0</v>
      </c>
      <c r="D35" s="2">
        <f>SUM(D31:D34)</f>
        <v>0</v>
      </c>
      <c r="E35" s="2">
        <f>SUM(E31:E34)</f>
        <v>0</v>
      </c>
      <c r="F35" s="51">
        <f>SUM(F31:F34)</f>
        <v>2520409.9891199986</v>
      </c>
    </row>
    <row r="36" spans="1:6" s="19" customFormat="1" ht="21">
      <c r="A36" s="71"/>
      <c r="B36" s="2"/>
      <c r="C36" s="2"/>
      <c r="D36" s="2"/>
      <c r="E36" s="2"/>
      <c r="F36" s="51"/>
    </row>
    <row r="37" spans="1:6" s="4" customFormat="1" ht="21">
      <c r="A37" s="64" t="s">
        <v>149</v>
      </c>
      <c r="B37" s="2"/>
      <c r="C37" s="1"/>
      <c r="D37" s="1"/>
      <c r="E37" s="1"/>
      <c r="F37" s="49"/>
    </row>
    <row r="38" spans="1:6" s="19" customFormat="1" ht="21">
      <c r="A38" s="71" t="s">
        <v>142</v>
      </c>
      <c r="B38" s="20">
        <f>SUM(C38:F38)</f>
        <v>0</v>
      </c>
      <c r="C38" s="16">
        <f aca="true" t="shared" si="0" ref="C38:F42">C31/$B$35</f>
        <v>0</v>
      </c>
      <c r="D38" s="16">
        <f t="shared" si="0"/>
        <v>0</v>
      </c>
      <c r="E38" s="16">
        <f t="shared" si="0"/>
        <v>0</v>
      </c>
      <c r="F38" s="48">
        <f t="shared" si="0"/>
        <v>0</v>
      </c>
    </row>
    <row r="39" spans="1:6" s="19" customFormat="1" ht="21">
      <c r="A39" s="71" t="s">
        <v>145</v>
      </c>
      <c r="B39" s="20">
        <f>SUM(C39:F39)</f>
        <v>0</v>
      </c>
      <c r="C39" s="16">
        <f t="shared" si="0"/>
        <v>0</v>
      </c>
      <c r="D39" s="16">
        <f t="shared" si="0"/>
        <v>0</v>
      </c>
      <c r="E39" s="16">
        <f t="shared" si="0"/>
        <v>0</v>
      </c>
      <c r="F39" s="48">
        <f t="shared" si="0"/>
        <v>0</v>
      </c>
    </row>
    <row r="40" spans="1:6" s="19" customFormat="1" ht="21">
      <c r="A40" s="71" t="s">
        <v>146</v>
      </c>
      <c r="B40" s="20">
        <f>SUM(C40:F40)</f>
        <v>0</v>
      </c>
      <c r="C40" s="16">
        <f t="shared" si="0"/>
        <v>0</v>
      </c>
      <c r="D40" s="16">
        <f t="shared" si="0"/>
        <v>0</v>
      </c>
      <c r="E40" s="16">
        <f t="shared" si="0"/>
        <v>0</v>
      </c>
      <c r="F40" s="48">
        <f t="shared" si="0"/>
        <v>0</v>
      </c>
    </row>
    <row r="41" spans="1:6" s="19" customFormat="1" ht="21">
      <c r="A41" s="71" t="s">
        <v>147</v>
      </c>
      <c r="B41" s="20">
        <f>SUM(C41:F41)</f>
        <v>1</v>
      </c>
      <c r="C41" s="16">
        <f t="shared" si="0"/>
        <v>0</v>
      </c>
      <c r="D41" s="16">
        <f t="shared" si="0"/>
        <v>0</v>
      </c>
      <c r="E41" s="16">
        <f t="shared" si="0"/>
        <v>0</v>
      </c>
      <c r="F41" s="48">
        <f t="shared" si="0"/>
        <v>1</v>
      </c>
    </row>
    <row r="42" spans="1:6" s="19" customFormat="1" ht="21">
      <c r="A42" s="72"/>
      <c r="B42" s="20">
        <f>SUM(C42:F42)</f>
        <v>1</v>
      </c>
      <c r="C42" s="20">
        <f t="shared" si="0"/>
        <v>0</v>
      </c>
      <c r="D42" s="20">
        <f t="shared" si="0"/>
        <v>0</v>
      </c>
      <c r="E42" s="20">
        <f t="shared" si="0"/>
        <v>0</v>
      </c>
      <c r="F42" s="52">
        <f t="shared" si="0"/>
        <v>1</v>
      </c>
    </row>
    <row r="43" spans="1:6" s="4" customFormat="1" ht="21">
      <c r="A43" s="64" t="s">
        <v>150</v>
      </c>
      <c r="B43" s="2"/>
      <c r="C43" s="1"/>
      <c r="D43" s="1"/>
      <c r="E43" s="1"/>
      <c r="F43" s="49"/>
    </row>
    <row r="44" spans="1:6" s="19" customFormat="1" ht="21">
      <c r="A44" s="71" t="s">
        <v>142</v>
      </c>
      <c r="B44" s="20" t="e">
        <f>SUM(C44:F44)</f>
        <v>#DIV/0!</v>
      </c>
      <c r="C44" s="16" t="e">
        <f aca="true" t="shared" si="1" ref="C44:F47">C31/$B31</f>
        <v>#DIV/0!</v>
      </c>
      <c r="D44" s="16" t="e">
        <f t="shared" si="1"/>
        <v>#DIV/0!</v>
      </c>
      <c r="E44" s="16" t="e">
        <f t="shared" si="1"/>
        <v>#DIV/0!</v>
      </c>
      <c r="F44" s="48" t="e">
        <f t="shared" si="1"/>
        <v>#DIV/0!</v>
      </c>
    </row>
    <row r="45" spans="1:6" s="19" customFormat="1" ht="21">
      <c r="A45" s="71" t="s">
        <v>145</v>
      </c>
      <c r="B45" s="20" t="e">
        <f>SUM(C45:F45)</f>
        <v>#DIV/0!</v>
      </c>
      <c r="C45" s="16" t="e">
        <f t="shared" si="1"/>
        <v>#DIV/0!</v>
      </c>
      <c r="D45" s="16" t="e">
        <f t="shared" si="1"/>
        <v>#DIV/0!</v>
      </c>
      <c r="E45" s="16" t="e">
        <f t="shared" si="1"/>
        <v>#DIV/0!</v>
      </c>
      <c r="F45" s="48" t="e">
        <f t="shared" si="1"/>
        <v>#DIV/0!</v>
      </c>
    </row>
    <row r="46" spans="1:6" s="19" customFormat="1" ht="21">
      <c r="A46" s="71" t="s">
        <v>146</v>
      </c>
      <c r="B46" s="20" t="e">
        <f>SUM(C46:F46)</f>
        <v>#DIV/0!</v>
      </c>
      <c r="C46" s="16" t="e">
        <f t="shared" si="1"/>
        <v>#DIV/0!</v>
      </c>
      <c r="D46" s="16" t="e">
        <f t="shared" si="1"/>
        <v>#DIV/0!</v>
      </c>
      <c r="E46" s="16" t="e">
        <f t="shared" si="1"/>
        <v>#DIV/0!</v>
      </c>
      <c r="F46" s="48" t="e">
        <f t="shared" si="1"/>
        <v>#DIV/0!</v>
      </c>
    </row>
    <row r="47" spans="1:6" s="19" customFormat="1" ht="21">
      <c r="A47" s="71" t="s">
        <v>147</v>
      </c>
      <c r="B47" s="20">
        <f>SUM(C47:F47)</f>
        <v>1</v>
      </c>
      <c r="C47" s="16">
        <f t="shared" si="1"/>
        <v>0</v>
      </c>
      <c r="D47" s="16">
        <f t="shared" si="1"/>
        <v>0</v>
      </c>
      <c r="E47" s="16">
        <f t="shared" si="1"/>
        <v>0</v>
      </c>
      <c r="F47" s="48">
        <f t="shared" si="1"/>
        <v>1</v>
      </c>
    </row>
    <row r="48" spans="1:6" s="19" customFormat="1" ht="21">
      <c r="A48" s="72" t="s">
        <v>27</v>
      </c>
      <c r="B48" s="20">
        <f>SUM(C48:F48)</f>
        <v>3.9676084617850215E-07</v>
      </c>
      <c r="C48" s="20">
        <f>C41/$B$35</f>
        <v>0</v>
      </c>
      <c r="D48" s="20">
        <f>D41/$B$35</f>
        <v>0</v>
      </c>
      <c r="E48" s="20">
        <f>E41/$B$35</f>
        <v>0</v>
      </c>
      <c r="F48" s="52">
        <f>F41/$B$35</f>
        <v>3.9676084617850215E-07</v>
      </c>
    </row>
    <row r="49" spans="1:6" s="19" customFormat="1" ht="21">
      <c r="A49" s="72"/>
      <c r="B49" s="20"/>
      <c r="C49" s="20"/>
      <c r="D49" s="20"/>
      <c r="E49" s="20"/>
      <c r="F49" s="52"/>
    </row>
    <row r="50" spans="1:6" s="18" customFormat="1" ht="21">
      <c r="A50" s="65" t="s">
        <v>109</v>
      </c>
      <c r="B50" s="1"/>
      <c r="C50" s="20"/>
      <c r="D50" s="20"/>
      <c r="E50" s="20"/>
      <c r="F50" s="52"/>
    </row>
    <row r="51" spans="1:6" s="4" customFormat="1" ht="21">
      <c r="A51" s="71" t="s">
        <v>140</v>
      </c>
      <c r="B51" s="24">
        <f>B125/B18</f>
        <v>5.2232486264</v>
      </c>
      <c r="C51" s="1"/>
      <c r="D51" s="1"/>
      <c r="E51" s="1"/>
      <c r="F51" s="49"/>
    </row>
    <row r="52" spans="1:6" s="4" customFormat="1" ht="21">
      <c r="A52" s="71" t="s">
        <v>105</v>
      </c>
      <c r="B52" s="24">
        <f>B20/B18</f>
        <v>5.186597052256241</v>
      </c>
      <c r="C52" s="1"/>
      <c r="D52" s="1"/>
      <c r="E52" s="1"/>
      <c r="F52" s="49"/>
    </row>
    <row r="53" spans="1:6" s="4" customFormat="1" ht="42">
      <c r="A53" s="73" t="s">
        <v>107</v>
      </c>
      <c r="B53" s="24">
        <f>(B160+B161+B159)/B18</f>
        <v>3.6164274038480007</v>
      </c>
      <c r="C53" s="1"/>
      <c r="D53" s="1"/>
      <c r="E53" s="1"/>
      <c r="F53" s="49"/>
    </row>
    <row r="54" spans="1:6" s="4" customFormat="1" ht="21">
      <c r="A54" s="73" t="s">
        <v>126</v>
      </c>
      <c r="B54" s="24">
        <f>B199/B18</f>
        <v>0</v>
      </c>
      <c r="C54" s="1"/>
      <c r="D54" s="1"/>
      <c r="E54" s="1"/>
      <c r="F54" s="49"/>
    </row>
    <row r="55" spans="1:6" s="18" customFormat="1" ht="21">
      <c r="A55" s="74" t="s">
        <v>108</v>
      </c>
      <c r="B55" s="46">
        <f>B51+B52+B53+B54</f>
        <v>14.026273082504241</v>
      </c>
      <c r="C55" s="2"/>
      <c r="D55" s="2"/>
      <c r="E55" s="2"/>
      <c r="F55" s="51"/>
    </row>
    <row r="56" spans="1:6" s="4" customFormat="1" ht="21">
      <c r="A56" s="71"/>
      <c r="B56" s="1"/>
      <c r="C56" s="1"/>
      <c r="D56" s="1"/>
      <c r="E56" s="1"/>
      <c r="F56" s="49"/>
    </row>
    <row r="57" spans="1:6" s="4" customFormat="1" ht="21">
      <c r="A57" s="71" t="s">
        <v>106</v>
      </c>
      <c r="B57" s="24">
        <f>B173/B18</f>
        <v>15.752562431999994</v>
      </c>
      <c r="C57" s="1"/>
      <c r="D57" s="1"/>
      <c r="E57" s="1"/>
      <c r="F57" s="49"/>
    </row>
    <row r="58" spans="1:6" s="4" customFormat="1" ht="21">
      <c r="A58" s="71" t="s">
        <v>132</v>
      </c>
      <c r="B58" s="24">
        <f>B57-B55</f>
        <v>1.7262893494957527</v>
      </c>
      <c r="C58" s="1"/>
      <c r="D58" s="1"/>
      <c r="E58" s="1"/>
      <c r="F58" s="49"/>
    </row>
    <row r="59" spans="1:6" s="4" customFormat="1" ht="21">
      <c r="A59" s="71" t="s">
        <v>133</v>
      </c>
      <c r="B59" s="16">
        <f>B58/B55</f>
        <v>0.12307541278723928</v>
      </c>
      <c r="C59" s="1"/>
      <c r="D59" s="1"/>
      <c r="E59" s="1"/>
      <c r="F59" s="49"/>
    </row>
    <row r="60" spans="1:6" s="4" customFormat="1" ht="21">
      <c r="A60" s="71"/>
      <c r="B60" s="1"/>
      <c r="C60" s="1"/>
      <c r="D60" s="1"/>
      <c r="E60" s="1"/>
      <c r="F60" s="49"/>
    </row>
    <row r="61" spans="1:6" s="4" customFormat="1" ht="21">
      <c r="A61" s="65" t="s">
        <v>134</v>
      </c>
      <c r="B61" s="3" t="s">
        <v>27</v>
      </c>
      <c r="C61" s="2"/>
      <c r="D61" s="2"/>
      <c r="E61" s="2"/>
      <c r="F61" s="51"/>
    </row>
    <row r="62" spans="1:6" s="4" customFormat="1" ht="21">
      <c r="A62" s="71" t="s">
        <v>129</v>
      </c>
      <c r="B62" s="2">
        <f aca="true" t="shared" si="2" ref="B62:B81">SUM(C62:F62)</f>
        <v>2600</v>
      </c>
      <c r="C62" s="1">
        <v>2600</v>
      </c>
      <c r="D62" s="1">
        <v>0</v>
      </c>
      <c r="E62" s="1">
        <v>0</v>
      </c>
      <c r="F62" s="49">
        <v>0</v>
      </c>
    </row>
    <row r="63" spans="1:6" s="4" customFormat="1" ht="21">
      <c r="A63" s="71" t="s">
        <v>71</v>
      </c>
      <c r="B63" s="2">
        <f t="shared" si="2"/>
        <v>16000</v>
      </c>
      <c r="C63" s="1">
        <v>16000</v>
      </c>
      <c r="D63" s="1">
        <v>0</v>
      </c>
      <c r="E63" s="1">
        <v>0</v>
      </c>
      <c r="F63" s="49">
        <v>0</v>
      </c>
    </row>
    <row r="64" spans="1:6" s="4" customFormat="1" ht="21">
      <c r="A64" s="71" t="s">
        <v>72</v>
      </c>
      <c r="B64" s="2">
        <f t="shared" si="2"/>
        <v>108000</v>
      </c>
      <c r="C64" s="1">
        <v>99600</v>
      </c>
      <c r="D64" s="1">
        <v>8400</v>
      </c>
      <c r="E64" s="1">
        <v>0</v>
      </c>
      <c r="F64" s="49">
        <v>0</v>
      </c>
    </row>
    <row r="65" spans="1:6" s="4" customFormat="1" ht="21">
      <c r="A65" s="71" t="s">
        <v>73</v>
      </c>
      <c r="B65" s="2">
        <f t="shared" si="2"/>
        <v>30000</v>
      </c>
      <c r="C65" s="1">
        <v>22500</v>
      </c>
      <c r="D65" s="1">
        <v>7500</v>
      </c>
      <c r="E65" s="1">
        <v>0</v>
      </c>
      <c r="F65" s="49">
        <v>0</v>
      </c>
    </row>
    <row r="66" spans="1:6" s="4" customFormat="1" ht="21">
      <c r="A66" s="71" t="s">
        <v>74</v>
      </c>
      <c r="B66" s="2">
        <f t="shared" si="2"/>
        <v>7600</v>
      </c>
      <c r="C66" s="1">
        <v>4750</v>
      </c>
      <c r="D66" s="1">
        <v>2850</v>
      </c>
      <c r="E66" s="1">
        <v>0</v>
      </c>
      <c r="F66" s="49">
        <v>0</v>
      </c>
    </row>
    <row r="67" spans="1:6" s="4" customFormat="1" ht="21">
      <c r="A67" s="71" t="s">
        <v>76</v>
      </c>
      <c r="B67" s="2">
        <f t="shared" si="2"/>
        <v>41000</v>
      </c>
      <c r="C67" s="1">
        <v>20500</v>
      </c>
      <c r="D67" s="1">
        <v>20500</v>
      </c>
      <c r="E67" s="1">
        <v>0</v>
      </c>
      <c r="F67" s="49">
        <v>0</v>
      </c>
    </row>
    <row r="68" spans="1:6" s="4" customFormat="1" ht="21">
      <c r="A68" s="71" t="s">
        <v>75</v>
      </c>
      <c r="B68" s="2">
        <f t="shared" si="2"/>
        <v>42000</v>
      </c>
      <c r="C68" s="1">
        <v>8400</v>
      </c>
      <c r="D68" s="1">
        <v>31500</v>
      </c>
      <c r="E68" s="1">
        <v>2100</v>
      </c>
      <c r="F68" s="49">
        <v>0</v>
      </c>
    </row>
    <row r="69" spans="1:6" s="4" customFormat="1" ht="21">
      <c r="A69" s="71" t="s">
        <v>77</v>
      </c>
      <c r="B69" s="2">
        <f t="shared" si="2"/>
        <v>50000</v>
      </c>
      <c r="C69" s="1">
        <v>0</v>
      </c>
      <c r="D69" s="1">
        <v>39600</v>
      </c>
      <c r="E69" s="1">
        <v>10400</v>
      </c>
      <c r="F69" s="49">
        <v>0</v>
      </c>
    </row>
    <row r="70" spans="1:6" s="4" customFormat="1" ht="21">
      <c r="A70" s="71" t="s">
        <v>78</v>
      </c>
      <c r="B70" s="2">
        <f t="shared" si="2"/>
        <v>11000</v>
      </c>
      <c r="C70" s="1">
        <v>0</v>
      </c>
      <c r="D70" s="1">
        <v>4900</v>
      </c>
      <c r="E70" s="1">
        <v>6100</v>
      </c>
      <c r="F70" s="49">
        <v>0</v>
      </c>
    </row>
    <row r="71" spans="1:6" s="4" customFormat="1" ht="21">
      <c r="A71" s="71" t="s">
        <v>79</v>
      </c>
      <c r="B71" s="2">
        <f t="shared" si="2"/>
        <v>5000</v>
      </c>
      <c r="C71" s="1">
        <v>0</v>
      </c>
      <c r="D71" s="1">
        <v>0</v>
      </c>
      <c r="E71" s="1">
        <v>3300</v>
      </c>
      <c r="F71" s="49">
        <v>1700</v>
      </c>
    </row>
    <row r="72" spans="1:6" s="4" customFormat="1" ht="21">
      <c r="A72" s="71" t="s">
        <v>89</v>
      </c>
      <c r="B72" s="2">
        <f t="shared" si="2"/>
        <v>53000</v>
      </c>
      <c r="C72" s="1">
        <v>10600</v>
      </c>
      <c r="D72" s="1">
        <v>19600</v>
      </c>
      <c r="E72" s="1">
        <v>22800</v>
      </c>
      <c r="F72" s="49">
        <v>0</v>
      </c>
    </row>
    <row r="73" spans="1:6" s="4" customFormat="1" ht="21">
      <c r="A73" s="71" t="s">
        <v>80</v>
      </c>
      <c r="B73" s="2">
        <f t="shared" si="2"/>
        <v>18000</v>
      </c>
      <c r="C73" s="1">
        <v>0</v>
      </c>
      <c r="D73" s="1">
        <v>0</v>
      </c>
      <c r="E73" s="1">
        <v>13500</v>
      </c>
      <c r="F73" s="49">
        <v>4500</v>
      </c>
    </row>
    <row r="74" spans="1:6" s="4" customFormat="1" ht="21">
      <c r="A74" s="71" t="s">
        <v>81</v>
      </c>
      <c r="B74" s="2">
        <f t="shared" si="2"/>
        <v>13000</v>
      </c>
      <c r="C74" s="1">
        <v>0</v>
      </c>
      <c r="D74" s="1">
        <v>3250</v>
      </c>
      <c r="E74" s="1">
        <v>9750</v>
      </c>
      <c r="F74" s="49">
        <v>0</v>
      </c>
    </row>
    <row r="75" spans="1:6" s="4" customFormat="1" ht="21">
      <c r="A75" s="71" t="s">
        <v>82</v>
      </c>
      <c r="B75" s="2">
        <f t="shared" si="2"/>
        <v>35000</v>
      </c>
      <c r="C75" s="1">
        <v>0</v>
      </c>
      <c r="D75" s="1">
        <v>8750</v>
      </c>
      <c r="E75" s="1">
        <v>21000</v>
      </c>
      <c r="F75" s="49">
        <v>5250</v>
      </c>
    </row>
    <row r="76" spans="1:6" s="4" customFormat="1" ht="21">
      <c r="A76" s="71" t="s">
        <v>83</v>
      </c>
      <c r="B76" s="2">
        <f t="shared" si="2"/>
        <v>76000</v>
      </c>
      <c r="C76" s="1">
        <v>0</v>
      </c>
      <c r="D76" s="1">
        <v>30400</v>
      </c>
      <c r="E76" s="1">
        <v>28500</v>
      </c>
      <c r="F76" s="49">
        <v>17100</v>
      </c>
    </row>
    <row r="77" spans="1:6" s="4" customFormat="1" ht="21">
      <c r="A77" s="71" t="s">
        <v>84</v>
      </c>
      <c r="B77" s="2">
        <f t="shared" si="2"/>
        <v>10000</v>
      </c>
      <c r="C77" s="1">
        <v>2850</v>
      </c>
      <c r="D77" s="1">
        <v>2850</v>
      </c>
      <c r="E77" s="1">
        <v>2850</v>
      </c>
      <c r="F77" s="49">
        <v>1450</v>
      </c>
    </row>
    <row r="78" spans="1:6" s="4" customFormat="1" ht="21">
      <c r="A78" s="72" t="s">
        <v>110</v>
      </c>
      <c r="B78" s="2">
        <f t="shared" si="2"/>
        <v>518200</v>
      </c>
      <c r="C78" s="2">
        <f>SUM(C62:C77)</f>
        <v>187800</v>
      </c>
      <c r="D78" s="2">
        <f>SUM(D62:D77)</f>
        <v>180100</v>
      </c>
      <c r="E78" s="2">
        <f>SUM(E62:E77)</f>
        <v>120300</v>
      </c>
      <c r="F78" s="51">
        <f>SUM(F62:F77)</f>
        <v>30000</v>
      </c>
    </row>
    <row r="79" spans="1:6" s="4" customFormat="1" ht="21">
      <c r="A79" s="71" t="s">
        <v>85</v>
      </c>
      <c r="B79" s="2">
        <f t="shared" si="2"/>
        <v>20728</v>
      </c>
      <c r="C79" s="1">
        <f>0.04*C78</f>
        <v>7512</v>
      </c>
      <c r="D79" s="1">
        <f>0.04*D78</f>
        <v>7204</v>
      </c>
      <c r="E79" s="1">
        <f>0.04*E78</f>
        <v>4812</v>
      </c>
      <c r="F79" s="49">
        <f>0.04*F78</f>
        <v>1200</v>
      </c>
    </row>
    <row r="80" spans="1:6" s="4" customFormat="1" ht="21">
      <c r="A80" s="71" t="s">
        <v>86</v>
      </c>
      <c r="B80" s="2">
        <f t="shared" si="2"/>
        <v>77730</v>
      </c>
      <c r="C80" s="1">
        <f>0.15*C78</f>
        <v>28170</v>
      </c>
      <c r="D80" s="1">
        <f>0.15*D78</f>
        <v>27015</v>
      </c>
      <c r="E80" s="1">
        <f>0.15*E78</f>
        <v>18045</v>
      </c>
      <c r="F80" s="49">
        <f>0.15*F78</f>
        <v>4500</v>
      </c>
    </row>
    <row r="81" spans="1:6" s="4" customFormat="1" ht="21">
      <c r="A81" s="72" t="s">
        <v>88</v>
      </c>
      <c r="B81" s="2">
        <f t="shared" si="2"/>
        <v>616658</v>
      </c>
      <c r="C81" s="2">
        <f>SUM(C78:C80)</f>
        <v>223482</v>
      </c>
      <c r="D81" s="2">
        <f>SUM(D78:D80)</f>
        <v>214319</v>
      </c>
      <c r="E81" s="2">
        <f>SUM(E78:E80)</f>
        <v>143157</v>
      </c>
      <c r="F81" s="51">
        <f>SUM(F78:F80)</f>
        <v>35700</v>
      </c>
    </row>
    <row r="82" spans="1:6" s="4" customFormat="1" ht="21">
      <c r="A82" s="71"/>
      <c r="B82" s="1"/>
      <c r="C82" s="1"/>
      <c r="D82" s="1"/>
      <c r="E82" s="1"/>
      <c r="F82" s="49"/>
    </row>
    <row r="83" spans="1:6" s="4" customFormat="1" ht="21">
      <c r="A83" s="65" t="s">
        <v>135</v>
      </c>
      <c r="B83" s="3" t="s">
        <v>27</v>
      </c>
      <c r="C83" s="2"/>
      <c r="D83" s="2"/>
      <c r="E83" s="2"/>
      <c r="F83" s="51"/>
    </row>
    <row r="84" spans="1:6" s="4" customFormat="1" ht="21">
      <c r="A84" s="71" t="s">
        <v>129</v>
      </c>
      <c r="B84" s="20">
        <f aca="true" t="shared" si="3" ref="B84:B103">SUM(C84:F84)</f>
        <v>0.004216275471979606</v>
      </c>
      <c r="C84" s="16">
        <f aca="true" t="shared" si="4" ref="C84:F103">C62/$B$81</f>
        <v>0.004216275471979606</v>
      </c>
      <c r="D84" s="16">
        <f t="shared" si="4"/>
        <v>0</v>
      </c>
      <c r="E84" s="16">
        <f t="shared" si="4"/>
        <v>0</v>
      </c>
      <c r="F84" s="48">
        <f t="shared" si="4"/>
        <v>0</v>
      </c>
    </row>
    <row r="85" spans="1:6" s="4" customFormat="1" ht="21">
      <c r="A85" s="71" t="s">
        <v>71</v>
      </c>
      <c r="B85" s="20">
        <f t="shared" si="3"/>
        <v>0.025946310596797577</v>
      </c>
      <c r="C85" s="16">
        <f t="shared" si="4"/>
        <v>0.025946310596797577</v>
      </c>
      <c r="D85" s="16">
        <f t="shared" si="4"/>
        <v>0</v>
      </c>
      <c r="E85" s="16">
        <f t="shared" si="4"/>
        <v>0</v>
      </c>
      <c r="F85" s="48">
        <f t="shared" si="4"/>
        <v>0</v>
      </c>
    </row>
    <row r="86" spans="1:6" s="4" customFormat="1" ht="21">
      <c r="A86" s="71" t="s">
        <v>72</v>
      </c>
      <c r="B86" s="20">
        <f t="shared" si="3"/>
        <v>0.17513759652838365</v>
      </c>
      <c r="C86" s="16">
        <f t="shared" si="4"/>
        <v>0.16151578346506493</v>
      </c>
      <c r="D86" s="16">
        <f t="shared" si="4"/>
        <v>0.013621813063318727</v>
      </c>
      <c r="E86" s="16">
        <f t="shared" si="4"/>
        <v>0</v>
      </c>
      <c r="F86" s="48">
        <f t="shared" si="4"/>
        <v>0</v>
      </c>
    </row>
    <row r="87" spans="1:6" s="4" customFormat="1" ht="21">
      <c r="A87" s="71" t="s">
        <v>73</v>
      </c>
      <c r="B87" s="20">
        <f t="shared" si="3"/>
        <v>0.048649332368995456</v>
      </c>
      <c r="C87" s="16">
        <f t="shared" si="4"/>
        <v>0.03648699927674659</v>
      </c>
      <c r="D87" s="16">
        <f t="shared" si="4"/>
        <v>0.012162333092248864</v>
      </c>
      <c r="E87" s="16">
        <f t="shared" si="4"/>
        <v>0</v>
      </c>
      <c r="F87" s="48">
        <f t="shared" si="4"/>
        <v>0</v>
      </c>
    </row>
    <row r="88" spans="1:6" s="4" customFormat="1" ht="21">
      <c r="A88" s="71" t="s">
        <v>74</v>
      </c>
      <c r="B88" s="20">
        <f t="shared" si="3"/>
        <v>0.012324497533478848</v>
      </c>
      <c r="C88" s="16">
        <f t="shared" si="4"/>
        <v>0.007702810958424281</v>
      </c>
      <c r="D88" s="16">
        <f t="shared" si="4"/>
        <v>0.004621686575054568</v>
      </c>
      <c r="E88" s="16">
        <f t="shared" si="4"/>
        <v>0</v>
      </c>
      <c r="F88" s="48">
        <f t="shared" si="4"/>
        <v>0</v>
      </c>
    </row>
    <row r="89" spans="1:6" s="4" customFormat="1" ht="21">
      <c r="A89" s="71" t="s">
        <v>76</v>
      </c>
      <c r="B89" s="20">
        <f t="shared" si="3"/>
        <v>0.06648742090429378</v>
      </c>
      <c r="C89" s="16">
        <f t="shared" si="4"/>
        <v>0.03324371045214689</v>
      </c>
      <c r="D89" s="16">
        <f t="shared" si="4"/>
        <v>0.03324371045214689</v>
      </c>
      <c r="E89" s="16">
        <f t="shared" si="4"/>
        <v>0</v>
      </c>
      <c r="F89" s="48">
        <f t="shared" si="4"/>
        <v>0</v>
      </c>
    </row>
    <row r="90" spans="1:6" s="4" customFormat="1" ht="21">
      <c r="A90" s="71" t="s">
        <v>75</v>
      </c>
      <c r="B90" s="20">
        <f t="shared" si="3"/>
        <v>0.06810906531659364</v>
      </c>
      <c r="C90" s="16">
        <f t="shared" si="4"/>
        <v>0.013621813063318727</v>
      </c>
      <c r="D90" s="16">
        <f t="shared" si="4"/>
        <v>0.05108179898744523</v>
      </c>
      <c r="E90" s="16">
        <f t="shared" si="4"/>
        <v>0.0034054532658296817</v>
      </c>
      <c r="F90" s="48">
        <f t="shared" si="4"/>
        <v>0</v>
      </c>
    </row>
    <row r="91" spans="1:6" s="4" customFormat="1" ht="21">
      <c r="A91" s="71" t="s">
        <v>77</v>
      </c>
      <c r="B91" s="20">
        <f t="shared" si="3"/>
        <v>0.08108222061499243</v>
      </c>
      <c r="C91" s="16">
        <f t="shared" si="4"/>
        <v>0</v>
      </c>
      <c r="D91" s="16">
        <f t="shared" si="4"/>
        <v>0.064217118727074</v>
      </c>
      <c r="E91" s="16">
        <f t="shared" si="4"/>
        <v>0.016865101887918423</v>
      </c>
      <c r="F91" s="48">
        <f t="shared" si="4"/>
        <v>0</v>
      </c>
    </row>
    <row r="92" spans="1:6" s="4" customFormat="1" ht="21">
      <c r="A92" s="71" t="s">
        <v>78</v>
      </c>
      <c r="B92" s="20">
        <f t="shared" si="3"/>
        <v>0.017838088535298335</v>
      </c>
      <c r="C92" s="16">
        <f t="shared" si="4"/>
        <v>0</v>
      </c>
      <c r="D92" s="16">
        <f t="shared" si="4"/>
        <v>0.007946057620269257</v>
      </c>
      <c r="E92" s="16">
        <f t="shared" si="4"/>
        <v>0.009892030915029076</v>
      </c>
      <c r="F92" s="48">
        <f t="shared" si="4"/>
        <v>0</v>
      </c>
    </row>
    <row r="93" spans="1:6" s="4" customFormat="1" ht="21">
      <c r="A93" s="71" t="s">
        <v>79</v>
      </c>
      <c r="B93" s="20">
        <f t="shared" si="3"/>
        <v>0.008108222061499243</v>
      </c>
      <c r="C93" s="16">
        <f t="shared" si="4"/>
        <v>0</v>
      </c>
      <c r="D93" s="16">
        <f t="shared" si="4"/>
        <v>0</v>
      </c>
      <c r="E93" s="16">
        <f t="shared" si="4"/>
        <v>0.0053514265605895004</v>
      </c>
      <c r="F93" s="48">
        <f t="shared" si="4"/>
        <v>0.0027567955009097423</v>
      </c>
    </row>
    <row r="94" spans="1:6" s="4" customFormat="1" ht="21">
      <c r="A94" s="71" t="s">
        <v>89</v>
      </c>
      <c r="B94" s="20">
        <f t="shared" si="3"/>
        <v>0.08594715385189197</v>
      </c>
      <c r="C94" s="16">
        <f t="shared" si="4"/>
        <v>0.017189430770378395</v>
      </c>
      <c r="D94" s="16">
        <f t="shared" si="4"/>
        <v>0.03178423048107703</v>
      </c>
      <c r="E94" s="16">
        <f t="shared" si="4"/>
        <v>0.036973492600436544</v>
      </c>
      <c r="F94" s="48">
        <f t="shared" si="4"/>
        <v>0</v>
      </c>
    </row>
    <row r="95" spans="1:6" s="4" customFormat="1" ht="21">
      <c r="A95" s="71" t="s">
        <v>80</v>
      </c>
      <c r="B95" s="20">
        <f t="shared" si="3"/>
        <v>0.029189599421397275</v>
      </c>
      <c r="C95" s="16">
        <f t="shared" si="4"/>
        <v>0</v>
      </c>
      <c r="D95" s="16">
        <f t="shared" si="4"/>
        <v>0</v>
      </c>
      <c r="E95" s="16">
        <f t="shared" si="4"/>
        <v>0.021892199566047956</v>
      </c>
      <c r="F95" s="48">
        <f t="shared" si="4"/>
        <v>0.007297399855349319</v>
      </c>
    </row>
    <row r="96" spans="1:6" s="4" customFormat="1" ht="21">
      <c r="A96" s="71" t="s">
        <v>81</v>
      </c>
      <c r="B96" s="20">
        <f t="shared" si="3"/>
        <v>0.02108137735989803</v>
      </c>
      <c r="C96" s="16">
        <f t="shared" si="4"/>
        <v>0</v>
      </c>
      <c r="D96" s="16">
        <f t="shared" si="4"/>
        <v>0.0052703443399745075</v>
      </c>
      <c r="E96" s="16">
        <f t="shared" si="4"/>
        <v>0.015811033019923523</v>
      </c>
      <c r="F96" s="48">
        <f t="shared" si="4"/>
        <v>0</v>
      </c>
    </row>
    <row r="97" spans="1:6" s="4" customFormat="1" ht="21">
      <c r="A97" s="71" t="s">
        <v>82</v>
      </c>
      <c r="B97" s="20">
        <f t="shared" si="3"/>
        <v>0.0567575544304947</v>
      </c>
      <c r="C97" s="16">
        <f t="shared" si="4"/>
        <v>0</v>
      </c>
      <c r="D97" s="16">
        <f t="shared" si="4"/>
        <v>0.014189388607623674</v>
      </c>
      <c r="E97" s="16">
        <f t="shared" si="4"/>
        <v>0.03405453265829682</v>
      </c>
      <c r="F97" s="48">
        <f t="shared" si="4"/>
        <v>0.008513633164574205</v>
      </c>
    </row>
    <row r="98" spans="1:6" s="4" customFormat="1" ht="21">
      <c r="A98" s="71" t="s">
        <v>83</v>
      </c>
      <c r="B98" s="20">
        <f t="shared" si="3"/>
        <v>0.12324497533478848</v>
      </c>
      <c r="C98" s="16">
        <f t="shared" si="4"/>
        <v>0</v>
      </c>
      <c r="D98" s="16">
        <f t="shared" si="4"/>
        <v>0.04929799013391539</v>
      </c>
      <c r="E98" s="16">
        <f t="shared" si="4"/>
        <v>0.046216865750545684</v>
      </c>
      <c r="F98" s="48">
        <f t="shared" si="4"/>
        <v>0.02773011945032741</v>
      </c>
    </row>
    <row r="99" spans="1:6" s="4" customFormat="1" ht="21">
      <c r="A99" s="71" t="s">
        <v>84</v>
      </c>
      <c r="B99" s="20">
        <f t="shared" si="3"/>
        <v>0.016216444122998483</v>
      </c>
      <c r="C99" s="16">
        <f t="shared" si="4"/>
        <v>0.004621686575054568</v>
      </c>
      <c r="D99" s="16">
        <f t="shared" si="4"/>
        <v>0.004621686575054568</v>
      </c>
      <c r="E99" s="16">
        <f t="shared" si="4"/>
        <v>0.004621686575054568</v>
      </c>
      <c r="F99" s="48">
        <f t="shared" si="4"/>
        <v>0.0023513843978347805</v>
      </c>
    </row>
    <row r="100" spans="1:6" s="18" customFormat="1" ht="21">
      <c r="A100" s="72" t="s">
        <v>110</v>
      </c>
      <c r="B100" s="20">
        <f t="shared" si="3"/>
        <v>0.8403361344537815</v>
      </c>
      <c r="C100" s="20">
        <f t="shared" si="4"/>
        <v>0.30454482062991156</v>
      </c>
      <c r="D100" s="20">
        <f t="shared" si="4"/>
        <v>0.29205815865520274</v>
      </c>
      <c r="E100" s="20">
        <f t="shared" si="4"/>
        <v>0.1950838227996718</v>
      </c>
      <c r="F100" s="52">
        <f t="shared" si="4"/>
        <v>0.048649332368995456</v>
      </c>
    </row>
    <row r="101" spans="1:6" s="4" customFormat="1" ht="21">
      <c r="A101" s="71" t="s">
        <v>85</v>
      </c>
      <c r="B101" s="20">
        <f t="shared" si="3"/>
        <v>0.03361344537815126</v>
      </c>
      <c r="C101" s="16">
        <f t="shared" si="4"/>
        <v>0.012181792825196462</v>
      </c>
      <c r="D101" s="16">
        <f t="shared" si="4"/>
        <v>0.011682326346208109</v>
      </c>
      <c r="E101" s="16">
        <f t="shared" si="4"/>
        <v>0.007803352911986871</v>
      </c>
      <c r="F101" s="48">
        <f t="shared" si="4"/>
        <v>0.0019459732947598183</v>
      </c>
    </row>
    <row r="102" spans="1:6" s="4" customFormat="1" ht="21">
      <c r="A102" s="71" t="s">
        <v>86</v>
      </c>
      <c r="B102" s="20">
        <f t="shared" si="3"/>
        <v>0.12605042016806722</v>
      </c>
      <c r="C102" s="16">
        <f t="shared" si="4"/>
        <v>0.04568172309448673</v>
      </c>
      <c r="D102" s="16">
        <f t="shared" si="4"/>
        <v>0.04380872379828041</v>
      </c>
      <c r="E102" s="16">
        <f t="shared" si="4"/>
        <v>0.029262573419950765</v>
      </c>
      <c r="F102" s="48">
        <f t="shared" si="4"/>
        <v>0.007297399855349319</v>
      </c>
    </row>
    <row r="103" spans="1:6" s="18" customFormat="1" ht="21">
      <c r="A103" s="72" t="s">
        <v>88</v>
      </c>
      <c r="B103" s="20">
        <f t="shared" si="3"/>
        <v>1</v>
      </c>
      <c r="C103" s="20">
        <f t="shared" si="4"/>
        <v>0.36240833654959476</v>
      </c>
      <c r="D103" s="20">
        <f t="shared" si="4"/>
        <v>0.34754920879969126</v>
      </c>
      <c r="E103" s="20">
        <f t="shared" si="4"/>
        <v>0.2321497491316094</v>
      </c>
      <c r="F103" s="52">
        <f t="shared" si="4"/>
        <v>0.057892705519104595</v>
      </c>
    </row>
    <row r="104" spans="1:6" s="4" customFormat="1" ht="21">
      <c r="A104" s="72"/>
      <c r="B104" s="42"/>
      <c r="C104" s="42"/>
      <c r="D104" s="42"/>
      <c r="E104" s="42"/>
      <c r="F104" s="53"/>
    </row>
    <row r="105" spans="1:6" s="4" customFormat="1" ht="21">
      <c r="A105" s="65" t="s">
        <v>136</v>
      </c>
      <c r="B105" s="3" t="s">
        <v>27</v>
      </c>
      <c r="C105" s="2"/>
      <c r="D105" s="2"/>
      <c r="E105" s="2"/>
      <c r="F105" s="51"/>
    </row>
    <row r="106" spans="1:6" s="4" customFormat="1" ht="21">
      <c r="A106" s="71" t="s">
        <v>129</v>
      </c>
      <c r="B106" s="2">
        <f aca="true" t="shared" si="5" ref="B106:B125">SUM(C106:F106)</f>
        <v>3016</v>
      </c>
      <c r="C106" s="1">
        <f aca="true" t="shared" si="6" ref="C106:C121">C62*(1+C$13)</f>
        <v>3016</v>
      </c>
      <c r="D106" s="1">
        <f aca="true" t="shared" si="7" ref="D106:D121">D62*(1+D$13)*(1+C$13)</f>
        <v>0</v>
      </c>
      <c r="E106" s="1">
        <f aca="true" t="shared" si="8" ref="E106:E121">E62*(1+E$13)*(1+D$13)*(1+C$13)</f>
        <v>0</v>
      </c>
      <c r="F106" s="49">
        <f aca="true" t="shared" si="9" ref="F106:F121">F62*(1+F$13)*(1+E$13)*(1+D$13)*(1+C$13)</f>
        <v>0</v>
      </c>
    </row>
    <row r="107" spans="1:6" s="4" customFormat="1" ht="21">
      <c r="A107" s="71" t="s">
        <v>71</v>
      </c>
      <c r="B107" s="2">
        <f t="shared" si="5"/>
        <v>18560</v>
      </c>
      <c r="C107" s="1">
        <f t="shared" si="6"/>
        <v>18560</v>
      </c>
      <c r="D107" s="1">
        <f t="shared" si="7"/>
        <v>0</v>
      </c>
      <c r="E107" s="1">
        <f t="shared" si="8"/>
        <v>0</v>
      </c>
      <c r="F107" s="49">
        <f t="shared" si="9"/>
        <v>0</v>
      </c>
    </row>
    <row r="108" spans="1:6" s="4" customFormat="1" ht="21">
      <c r="A108" s="71" t="s">
        <v>72</v>
      </c>
      <c r="B108" s="2">
        <f t="shared" si="5"/>
        <v>126839.03999999998</v>
      </c>
      <c r="C108" s="1">
        <f t="shared" si="6"/>
        <v>115535.99999999999</v>
      </c>
      <c r="D108" s="1">
        <f t="shared" si="7"/>
        <v>11303.039999999999</v>
      </c>
      <c r="E108" s="1">
        <f t="shared" si="8"/>
        <v>0</v>
      </c>
      <c r="F108" s="49">
        <f t="shared" si="9"/>
        <v>0</v>
      </c>
    </row>
    <row r="109" spans="1:6" s="4" customFormat="1" ht="21">
      <c r="A109" s="71" t="s">
        <v>73</v>
      </c>
      <c r="B109" s="2">
        <f t="shared" si="5"/>
        <v>36192</v>
      </c>
      <c r="C109" s="1">
        <f t="shared" si="6"/>
        <v>26100</v>
      </c>
      <c r="D109" s="1">
        <f t="shared" si="7"/>
        <v>10092</v>
      </c>
      <c r="E109" s="1">
        <f t="shared" si="8"/>
        <v>0</v>
      </c>
      <c r="F109" s="49">
        <f t="shared" si="9"/>
        <v>0</v>
      </c>
    </row>
    <row r="110" spans="1:6" s="4" customFormat="1" ht="21">
      <c r="A110" s="71" t="s">
        <v>74</v>
      </c>
      <c r="B110" s="2">
        <f t="shared" si="5"/>
        <v>9344.96</v>
      </c>
      <c r="C110" s="1">
        <f t="shared" si="6"/>
        <v>5510</v>
      </c>
      <c r="D110" s="1">
        <f t="shared" si="7"/>
        <v>3834.959999999999</v>
      </c>
      <c r="E110" s="1">
        <f t="shared" si="8"/>
        <v>0</v>
      </c>
      <c r="F110" s="49">
        <f t="shared" si="9"/>
        <v>0</v>
      </c>
    </row>
    <row r="111" spans="1:6" s="18" customFormat="1" ht="21">
      <c r="A111" s="71" t="s">
        <v>76</v>
      </c>
      <c r="B111" s="2">
        <f t="shared" si="5"/>
        <v>51364.8</v>
      </c>
      <c r="C111" s="1">
        <f t="shared" si="6"/>
        <v>23780</v>
      </c>
      <c r="D111" s="1">
        <f t="shared" si="7"/>
        <v>27584.8</v>
      </c>
      <c r="E111" s="1">
        <f t="shared" si="8"/>
        <v>0</v>
      </c>
      <c r="F111" s="49">
        <f t="shared" si="9"/>
        <v>0</v>
      </c>
    </row>
    <row r="112" spans="1:6" s="18" customFormat="1" ht="21">
      <c r="A112" s="71" t="s">
        <v>75</v>
      </c>
      <c r="B112" s="2">
        <f t="shared" si="5"/>
        <v>55408.281599999995</v>
      </c>
      <c r="C112" s="1">
        <f t="shared" si="6"/>
        <v>9744</v>
      </c>
      <c r="D112" s="1">
        <f t="shared" si="7"/>
        <v>42386.399999999994</v>
      </c>
      <c r="E112" s="1">
        <f t="shared" si="8"/>
        <v>3277.8815999999997</v>
      </c>
      <c r="F112" s="49">
        <f t="shared" si="9"/>
        <v>0</v>
      </c>
    </row>
    <row r="113" spans="1:6" s="18" customFormat="1" ht="21">
      <c r="A113" s="71" t="s">
        <v>77</v>
      </c>
      <c r="B113" s="2">
        <f t="shared" si="5"/>
        <v>69519.0784</v>
      </c>
      <c r="C113" s="1">
        <f t="shared" si="6"/>
        <v>0</v>
      </c>
      <c r="D113" s="1">
        <f t="shared" si="7"/>
        <v>53285.759999999995</v>
      </c>
      <c r="E113" s="1">
        <f t="shared" si="8"/>
        <v>16233.318399999998</v>
      </c>
      <c r="F113" s="49">
        <f t="shared" si="9"/>
        <v>0</v>
      </c>
    </row>
    <row r="114" spans="1:6" s="18" customFormat="1" ht="21">
      <c r="A114" s="71" t="s">
        <v>78</v>
      </c>
      <c r="B114" s="2">
        <f t="shared" si="5"/>
        <v>16114.905599999998</v>
      </c>
      <c r="C114" s="1">
        <f t="shared" si="6"/>
        <v>0</v>
      </c>
      <c r="D114" s="1">
        <f t="shared" si="7"/>
        <v>6593.44</v>
      </c>
      <c r="E114" s="1">
        <f t="shared" si="8"/>
        <v>9521.465599999998</v>
      </c>
      <c r="F114" s="49">
        <f t="shared" si="9"/>
        <v>0</v>
      </c>
    </row>
    <row r="115" spans="1:6" s="18" customFormat="1" ht="21">
      <c r="A115" s="71" t="s">
        <v>79</v>
      </c>
      <c r="B115" s="2">
        <f t="shared" si="5"/>
        <v>8229.043711999999</v>
      </c>
      <c r="C115" s="1">
        <f t="shared" si="6"/>
        <v>0</v>
      </c>
      <c r="D115" s="1">
        <f t="shared" si="7"/>
        <v>0</v>
      </c>
      <c r="E115" s="1">
        <f t="shared" si="8"/>
        <v>5150.956799999999</v>
      </c>
      <c r="F115" s="49">
        <f t="shared" si="9"/>
        <v>3078.086911999999</v>
      </c>
    </row>
    <row r="116" spans="1:6" s="18" customFormat="1" ht="21">
      <c r="A116" s="71" t="s">
        <v>89</v>
      </c>
      <c r="B116" s="2">
        <f t="shared" si="5"/>
        <v>74258.18879999997</v>
      </c>
      <c r="C116" s="1">
        <f t="shared" si="6"/>
        <v>12296</v>
      </c>
      <c r="D116" s="1">
        <f t="shared" si="7"/>
        <v>26373.76</v>
      </c>
      <c r="E116" s="1">
        <f t="shared" si="8"/>
        <v>35588.42879999999</v>
      </c>
      <c r="F116" s="49">
        <f t="shared" si="9"/>
        <v>0</v>
      </c>
    </row>
    <row r="117" spans="1:6" s="18" customFormat="1" ht="21">
      <c r="A117" s="71" t="s">
        <v>80</v>
      </c>
      <c r="B117" s="2">
        <f t="shared" si="5"/>
        <v>29219.97311999999</v>
      </c>
      <c r="C117" s="1">
        <f t="shared" si="6"/>
        <v>0</v>
      </c>
      <c r="D117" s="1">
        <f t="shared" si="7"/>
        <v>0</v>
      </c>
      <c r="E117" s="1">
        <f t="shared" si="8"/>
        <v>21072.095999999994</v>
      </c>
      <c r="F117" s="49">
        <f t="shared" si="9"/>
        <v>8147.877119999998</v>
      </c>
    </row>
    <row r="118" spans="1:6" s="25" customFormat="1" ht="21">
      <c r="A118" s="71" t="s">
        <v>81</v>
      </c>
      <c r="B118" s="2">
        <f t="shared" si="5"/>
        <v>19591.935999999994</v>
      </c>
      <c r="C118" s="1">
        <f t="shared" si="6"/>
        <v>0</v>
      </c>
      <c r="D118" s="1">
        <f t="shared" si="7"/>
        <v>4373.199999999999</v>
      </c>
      <c r="E118" s="1">
        <f t="shared" si="8"/>
        <v>15218.735999999997</v>
      </c>
      <c r="F118" s="49">
        <f t="shared" si="9"/>
        <v>0</v>
      </c>
    </row>
    <row r="119" spans="1:6" s="4" customFormat="1" ht="21">
      <c r="A119" s="71" t="s">
        <v>82</v>
      </c>
      <c r="B119" s="2">
        <f t="shared" si="5"/>
        <v>54058.67264</v>
      </c>
      <c r="C119" s="1">
        <f t="shared" si="6"/>
        <v>0</v>
      </c>
      <c r="D119" s="1">
        <f t="shared" si="7"/>
        <v>11774</v>
      </c>
      <c r="E119" s="1">
        <f t="shared" si="8"/>
        <v>32778.816</v>
      </c>
      <c r="F119" s="49">
        <f t="shared" si="9"/>
        <v>9505.856639999998</v>
      </c>
    </row>
    <row r="120" spans="1:6" s="17" customFormat="1" ht="21">
      <c r="A120" s="71" t="s">
        <v>83</v>
      </c>
      <c r="B120" s="2">
        <f t="shared" si="5"/>
        <v>116353.70905599998</v>
      </c>
      <c r="C120" s="1">
        <f t="shared" si="6"/>
        <v>0</v>
      </c>
      <c r="D120" s="1">
        <f t="shared" si="7"/>
        <v>40906.24</v>
      </c>
      <c r="E120" s="1">
        <f t="shared" si="8"/>
        <v>44485.53599999999</v>
      </c>
      <c r="F120" s="49">
        <f t="shared" si="9"/>
        <v>30961.933055999994</v>
      </c>
    </row>
    <row r="121" spans="1:6" s="4" customFormat="1" ht="21">
      <c r="A121" s="71" t="s">
        <v>84</v>
      </c>
      <c r="B121" s="2">
        <f t="shared" si="5"/>
        <v>14214.940671999997</v>
      </c>
      <c r="C121" s="1">
        <f t="shared" si="6"/>
        <v>3305.9999999999995</v>
      </c>
      <c r="D121" s="1">
        <f t="shared" si="7"/>
        <v>3834.959999999999</v>
      </c>
      <c r="E121" s="1">
        <f t="shared" si="8"/>
        <v>4448.553599999998</v>
      </c>
      <c r="F121" s="49">
        <f t="shared" si="9"/>
        <v>2625.427071999999</v>
      </c>
    </row>
    <row r="122" spans="1:6" s="4" customFormat="1" ht="21">
      <c r="A122" s="72" t="s">
        <v>110</v>
      </c>
      <c r="B122" s="2">
        <f t="shared" si="5"/>
        <v>702285.5295999999</v>
      </c>
      <c r="C122" s="2">
        <f>SUM(C106:C121)</f>
        <v>217848</v>
      </c>
      <c r="D122" s="2">
        <f>SUM(D106:D121)</f>
        <v>242342.56</v>
      </c>
      <c r="E122" s="2">
        <f>SUM(E106:E121)</f>
        <v>187775.78879999995</v>
      </c>
      <c r="F122" s="51">
        <f>SUM(F106:F121)</f>
        <v>54319.18079999999</v>
      </c>
    </row>
    <row r="123" spans="1:6" s="19" customFormat="1" ht="21">
      <c r="A123" s="71" t="s">
        <v>85</v>
      </c>
      <c r="B123" s="2">
        <f t="shared" si="5"/>
        <v>28091.421184</v>
      </c>
      <c r="C123" s="1">
        <f>0.04*C122</f>
        <v>8713.92</v>
      </c>
      <c r="D123" s="1">
        <f>0.04*D122</f>
        <v>9693.7024</v>
      </c>
      <c r="E123" s="1">
        <f>0.04*E122</f>
        <v>7511.031551999999</v>
      </c>
      <c r="F123" s="49">
        <f>0.04*F122</f>
        <v>2172.7672319999997</v>
      </c>
    </row>
    <row r="124" spans="1:6" s="19" customFormat="1" ht="21">
      <c r="A124" s="71" t="s">
        <v>86</v>
      </c>
      <c r="B124" s="2">
        <f t="shared" si="5"/>
        <v>105342.82944</v>
      </c>
      <c r="C124" s="1">
        <f>0.15*C122</f>
        <v>32677.199999999997</v>
      </c>
      <c r="D124" s="1">
        <f>0.15*D122</f>
        <v>36351.384</v>
      </c>
      <c r="E124" s="1">
        <f>0.15*E122</f>
        <v>28166.36831999999</v>
      </c>
      <c r="F124" s="49">
        <f>0.15*F122</f>
        <v>8147.877119999997</v>
      </c>
    </row>
    <row r="125" spans="1:6" s="19" customFormat="1" ht="21">
      <c r="A125" s="72" t="s">
        <v>88</v>
      </c>
      <c r="B125" s="2">
        <f t="shared" si="5"/>
        <v>835719.780224</v>
      </c>
      <c r="C125" s="2">
        <f>SUM(C122:C124)</f>
        <v>259239.12</v>
      </c>
      <c r="D125" s="2">
        <f>SUM(D122:D124)</f>
        <v>288387.6464</v>
      </c>
      <c r="E125" s="2">
        <f>SUM(E122:E124)</f>
        <v>223453.18867199993</v>
      </c>
      <c r="F125" s="51">
        <f>SUM(F122:F124)</f>
        <v>64639.82515199998</v>
      </c>
    </row>
    <row r="126" spans="1:6" s="19" customFormat="1" ht="21">
      <c r="A126" s="71"/>
      <c r="B126" s="1"/>
      <c r="C126" s="1"/>
      <c r="D126" s="1"/>
      <c r="E126" s="1"/>
      <c r="F126" s="49"/>
    </row>
    <row r="127" spans="1:6" s="19" customFormat="1" ht="21">
      <c r="A127" s="65" t="s">
        <v>137</v>
      </c>
      <c r="B127" s="3" t="s">
        <v>27</v>
      </c>
      <c r="C127" s="2"/>
      <c r="D127" s="2"/>
      <c r="E127" s="2"/>
      <c r="F127" s="51"/>
    </row>
    <row r="128" spans="1:6" s="19" customFormat="1" ht="21">
      <c r="A128" s="71" t="s">
        <v>129</v>
      </c>
      <c r="B128" s="20">
        <f aca="true" t="shared" si="10" ref="B128:B147">SUM(C128:F128)</f>
        <v>0.003608865161946525</v>
      </c>
      <c r="C128" s="16">
        <f aca="true" t="shared" si="11" ref="C128:F147">C106/$B$125</f>
        <v>0.003608865161946525</v>
      </c>
      <c r="D128" s="16">
        <f t="shared" si="11"/>
        <v>0</v>
      </c>
      <c r="E128" s="16">
        <f t="shared" si="11"/>
        <v>0</v>
      </c>
      <c r="F128" s="48">
        <f t="shared" si="11"/>
        <v>0</v>
      </c>
    </row>
    <row r="129" spans="1:6" s="19" customFormat="1" ht="21">
      <c r="A129" s="71" t="s">
        <v>71</v>
      </c>
      <c r="B129" s="20">
        <f t="shared" si="10"/>
        <v>0.022208400996594</v>
      </c>
      <c r="C129" s="16">
        <f t="shared" si="11"/>
        <v>0.022208400996594</v>
      </c>
      <c r="D129" s="16">
        <f t="shared" si="11"/>
        <v>0</v>
      </c>
      <c r="E129" s="16">
        <f t="shared" si="11"/>
        <v>0</v>
      </c>
      <c r="F129" s="48">
        <f t="shared" si="11"/>
        <v>0</v>
      </c>
    </row>
    <row r="130" spans="1:6" s="19" customFormat="1" ht="21">
      <c r="A130" s="71" t="s">
        <v>72</v>
      </c>
      <c r="B130" s="20">
        <f t="shared" si="10"/>
        <v>0.1517722124107234</v>
      </c>
      <c r="C130" s="16">
        <f t="shared" si="11"/>
        <v>0.13824729620379764</v>
      </c>
      <c r="D130" s="16">
        <f t="shared" si="11"/>
        <v>0.013524916206925745</v>
      </c>
      <c r="E130" s="16">
        <f t="shared" si="11"/>
        <v>0</v>
      </c>
      <c r="F130" s="48">
        <f t="shared" si="11"/>
        <v>0</v>
      </c>
    </row>
    <row r="131" spans="1:6" s="19" customFormat="1" ht="21">
      <c r="A131" s="71" t="s">
        <v>73</v>
      </c>
      <c r="B131" s="20">
        <f t="shared" si="10"/>
        <v>0.0433063819433583</v>
      </c>
      <c r="C131" s="16">
        <f t="shared" si="11"/>
        <v>0.031230563901460312</v>
      </c>
      <c r="D131" s="16">
        <f t="shared" si="11"/>
        <v>0.012075818041897987</v>
      </c>
      <c r="E131" s="16">
        <f t="shared" si="11"/>
        <v>0</v>
      </c>
      <c r="F131" s="48">
        <f t="shared" si="11"/>
        <v>0</v>
      </c>
    </row>
    <row r="132" spans="1:6" s="17" customFormat="1" ht="21">
      <c r="A132" s="71" t="s">
        <v>74</v>
      </c>
      <c r="B132" s="20">
        <f t="shared" si="10"/>
        <v>0.011181929901785077</v>
      </c>
      <c r="C132" s="16">
        <f t="shared" si="11"/>
        <v>0.006593119045863844</v>
      </c>
      <c r="D132" s="16">
        <f t="shared" si="11"/>
        <v>0.0045888108559212345</v>
      </c>
      <c r="E132" s="16">
        <f t="shared" si="11"/>
        <v>0</v>
      </c>
      <c r="F132" s="48">
        <f t="shared" si="11"/>
        <v>0</v>
      </c>
    </row>
    <row r="133" spans="1:6" s="21" customFormat="1" ht="21">
      <c r="A133" s="71" t="s">
        <v>76</v>
      </c>
      <c r="B133" s="20">
        <f t="shared" si="10"/>
        <v>0.06146174975807389</v>
      </c>
      <c r="C133" s="16">
        <f t="shared" si="11"/>
        <v>0.028454513776886063</v>
      </c>
      <c r="D133" s="16">
        <f t="shared" si="11"/>
        <v>0.03300723598118783</v>
      </c>
      <c r="E133" s="16">
        <f t="shared" si="11"/>
        <v>0</v>
      </c>
      <c r="F133" s="48">
        <f t="shared" si="11"/>
        <v>0</v>
      </c>
    </row>
    <row r="134" spans="1:6" s="21" customFormat="1" ht="21">
      <c r="A134" s="71" t="s">
        <v>75</v>
      </c>
      <c r="B134" s="20">
        <f t="shared" si="10"/>
        <v>0.06630007199919186</v>
      </c>
      <c r="C134" s="16">
        <f t="shared" si="11"/>
        <v>0.01165941052321185</v>
      </c>
      <c r="D134" s="16">
        <f t="shared" si="11"/>
        <v>0.05071843577597154</v>
      </c>
      <c r="E134" s="16">
        <f t="shared" si="11"/>
        <v>0.003922225700008466</v>
      </c>
      <c r="F134" s="48">
        <f t="shared" si="11"/>
        <v>0</v>
      </c>
    </row>
    <row r="135" spans="1:6" s="18" customFormat="1" ht="21">
      <c r="A135" s="71" t="s">
        <v>77</v>
      </c>
      <c r="B135" s="20">
        <f t="shared" si="10"/>
        <v>0.08318467510888235</v>
      </c>
      <c r="C135" s="16">
        <f t="shared" si="11"/>
        <v>0</v>
      </c>
      <c r="D135" s="16">
        <f t="shared" si="11"/>
        <v>0.06376031926122137</v>
      </c>
      <c r="E135" s="16">
        <f t="shared" si="11"/>
        <v>0.019424355847660973</v>
      </c>
      <c r="F135" s="48">
        <f t="shared" si="11"/>
        <v>0</v>
      </c>
    </row>
    <row r="136" spans="1:6" s="18" customFormat="1" ht="21">
      <c r="A136" s="71" t="s">
        <v>78</v>
      </c>
      <c r="B136" s="20">
        <f t="shared" si="10"/>
        <v>0.0192826662493027</v>
      </c>
      <c r="C136" s="16">
        <f t="shared" si="11"/>
        <v>0</v>
      </c>
      <c r="D136" s="16">
        <f t="shared" si="11"/>
        <v>0.007889534454040018</v>
      </c>
      <c r="E136" s="16">
        <f t="shared" si="11"/>
        <v>0.011393131795262685</v>
      </c>
      <c r="F136" s="48">
        <f t="shared" si="11"/>
        <v>0</v>
      </c>
    </row>
    <row r="137" spans="1:6" s="18" customFormat="1" ht="21">
      <c r="A137" s="71" t="s">
        <v>79</v>
      </c>
      <c r="B137" s="20">
        <f t="shared" si="10"/>
        <v>0.009846654233545062</v>
      </c>
      <c r="C137" s="16">
        <f t="shared" si="11"/>
        <v>0</v>
      </c>
      <c r="D137" s="16">
        <f t="shared" si="11"/>
        <v>0</v>
      </c>
      <c r="E137" s="16">
        <f t="shared" si="11"/>
        <v>0.006163497528584732</v>
      </c>
      <c r="F137" s="48">
        <f t="shared" si="11"/>
        <v>0.00368315670496033</v>
      </c>
    </row>
    <row r="138" spans="1:6" s="18" customFormat="1" ht="21">
      <c r="A138" s="71" t="s">
        <v>89</v>
      </c>
      <c r="B138" s="20">
        <f t="shared" si="10"/>
        <v>0.08885536821935264</v>
      </c>
      <c r="C138" s="16">
        <f t="shared" si="11"/>
        <v>0.014713065660243526</v>
      </c>
      <c r="D138" s="16">
        <f t="shared" si="11"/>
        <v>0.03155813781616007</v>
      </c>
      <c r="E138" s="16">
        <f t="shared" si="11"/>
        <v>0.04258416474294905</v>
      </c>
      <c r="F138" s="48">
        <f t="shared" si="11"/>
        <v>0</v>
      </c>
    </row>
    <row r="139" spans="1:6" s="18" customFormat="1" ht="21">
      <c r="A139" s="71" t="s">
        <v>80</v>
      </c>
      <c r="B139" s="20">
        <f t="shared" si="10"/>
        <v>0.03496384052578975</v>
      </c>
      <c r="C139" s="16">
        <f t="shared" si="11"/>
        <v>0</v>
      </c>
      <c r="D139" s="16">
        <f t="shared" si="11"/>
        <v>0</v>
      </c>
      <c r="E139" s="16">
        <f t="shared" si="11"/>
        <v>0.02521430807148299</v>
      </c>
      <c r="F139" s="48">
        <f t="shared" si="11"/>
        <v>0.009749532454306757</v>
      </c>
    </row>
    <row r="140" spans="1:6" s="18" customFormat="1" ht="21">
      <c r="A140" s="71" t="s">
        <v>81</v>
      </c>
      <c r="B140" s="20">
        <f t="shared" si="10"/>
        <v>0.023443188092004623</v>
      </c>
      <c r="C140" s="16">
        <f t="shared" si="11"/>
        <v>0</v>
      </c>
      <c r="D140" s="16">
        <f t="shared" si="11"/>
        <v>0.00523285448482246</v>
      </c>
      <c r="E140" s="16">
        <f t="shared" si="11"/>
        <v>0.01821033360718216</v>
      </c>
      <c r="F140" s="48">
        <f t="shared" si="11"/>
        <v>0</v>
      </c>
    </row>
    <row r="141" spans="1:6" s="18" customFormat="1" ht="21">
      <c r="A141" s="71" t="s">
        <v>82</v>
      </c>
      <c r="B141" s="20">
        <f t="shared" si="10"/>
        <v>0.06468516591232353</v>
      </c>
      <c r="C141" s="16">
        <f t="shared" si="11"/>
        <v>0</v>
      </c>
      <c r="D141" s="16">
        <f t="shared" si="11"/>
        <v>0.01408845438221432</v>
      </c>
      <c r="E141" s="16">
        <f t="shared" si="11"/>
        <v>0.039222257000084665</v>
      </c>
      <c r="F141" s="48">
        <f t="shared" si="11"/>
        <v>0.01137445453002455</v>
      </c>
    </row>
    <row r="142" spans="1:6" s="18" customFormat="1" ht="21">
      <c r="A142" s="71" t="s">
        <v>83</v>
      </c>
      <c r="B142" s="20">
        <f t="shared" si="10"/>
        <v>0.13922574505154517</v>
      </c>
      <c r="C142" s="16">
        <f t="shared" si="11"/>
        <v>0</v>
      </c>
      <c r="D142" s="16">
        <f t="shared" si="11"/>
        <v>0.048947315796493175</v>
      </c>
      <c r="E142" s="16">
        <f t="shared" si="11"/>
        <v>0.05323020592868632</v>
      </c>
      <c r="F142" s="48">
        <f t="shared" si="11"/>
        <v>0.037048223326365676</v>
      </c>
    </row>
    <row r="143" spans="1:6" s="18" customFormat="1" ht="21">
      <c r="A143" s="71" t="s">
        <v>84</v>
      </c>
      <c r="B143" s="20">
        <f t="shared" si="10"/>
        <v>0.01700921888936257</v>
      </c>
      <c r="C143" s="16">
        <f t="shared" si="11"/>
        <v>0.003955871427518306</v>
      </c>
      <c r="D143" s="16">
        <f t="shared" si="11"/>
        <v>0.0045888108559212345</v>
      </c>
      <c r="E143" s="16">
        <f t="shared" si="11"/>
        <v>0.005323020592868631</v>
      </c>
      <c r="F143" s="48">
        <f t="shared" si="11"/>
        <v>0.003141516013054399</v>
      </c>
    </row>
    <row r="144" spans="1:6" s="18" customFormat="1" ht="21">
      <c r="A144" s="72" t="s">
        <v>110</v>
      </c>
      <c r="B144" s="20">
        <f t="shared" si="10"/>
        <v>0.8403361344537814</v>
      </c>
      <c r="C144" s="20">
        <f t="shared" si="11"/>
        <v>0.2606711066975221</v>
      </c>
      <c r="D144" s="20">
        <f t="shared" si="11"/>
        <v>0.289980643912777</v>
      </c>
      <c r="E144" s="20">
        <f t="shared" si="11"/>
        <v>0.22468750081477065</v>
      </c>
      <c r="F144" s="52">
        <f t="shared" si="11"/>
        <v>0.06499688302871172</v>
      </c>
    </row>
    <row r="145" spans="1:6" s="18" customFormat="1" ht="21">
      <c r="A145" s="71" t="s">
        <v>85</v>
      </c>
      <c r="B145" s="20">
        <f t="shared" si="10"/>
        <v>0.03361344537815126</v>
      </c>
      <c r="C145" s="16">
        <f t="shared" si="11"/>
        <v>0.010426844267900883</v>
      </c>
      <c r="D145" s="16">
        <f t="shared" si="11"/>
        <v>0.01159922575651108</v>
      </c>
      <c r="E145" s="16">
        <f t="shared" si="11"/>
        <v>0.008987500032590827</v>
      </c>
      <c r="F145" s="48">
        <f t="shared" si="11"/>
        <v>0.0025998753211484687</v>
      </c>
    </row>
    <row r="146" spans="1:6" s="18" customFormat="1" ht="21">
      <c r="A146" s="71" t="s">
        <v>86</v>
      </c>
      <c r="B146" s="20">
        <f t="shared" si="10"/>
        <v>0.12605042016806722</v>
      </c>
      <c r="C146" s="16">
        <f t="shared" si="11"/>
        <v>0.03910066600462831</v>
      </c>
      <c r="D146" s="16">
        <f t="shared" si="11"/>
        <v>0.04349709658691655</v>
      </c>
      <c r="E146" s="16">
        <f t="shared" si="11"/>
        <v>0.0337031251222156</v>
      </c>
      <c r="F146" s="48">
        <f t="shared" si="11"/>
        <v>0.009749532454306755</v>
      </c>
    </row>
    <row r="147" spans="1:6" s="18" customFormat="1" ht="21">
      <c r="A147" s="72" t="s">
        <v>88</v>
      </c>
      <c r="B147" s="20">
        <f t="shared" si="10"/>
        <v>0.9999999999999998</v>
      </c>
      <c r="C147" s="20">
        <f t="shared" si="11"/>
        <v>0.31019861697005124</v>
      </c>
      <c r="D147" s="20">
        <f t="shared" si="11"/>
        <v>0.34507696625620465</v>
      </c>
      <c r="E147" s="20">
        <f t="shared" si="11"/>
        <v>0.26737812596957705</v>
      </c>
      <c r="F147" s="52">
        <f t="shared" si="11"/>
        <v>0.07734629080416694</v>
      </c>
    </row>
    <row r="148" spans="1:6" s="18" customFormat="1" ht="21">
      <c r="A148" s="72"/>
      <c r="B148" s="42"/>
      <c r="C148" s="42"/>
      <c r="D148" s="42"/>
      <c r="E148" s="42"/>
      <c r="F148" s="53"/>
    </row>
    <row r="149" spans="1:6" s="18" customFormat="1" ht="21">
      <c r="A149" s="65" t="s">
        <v>58</v>
      </c>
      <c r="B149" s="3"/>
      <c r="C149" s="2"/>
      <c r="D149" s="2"/>
      <c r="E149" s="2"/>
      <c r="F149" s="51"/>
    </row>
    <row r="150" spans="1:6" s="18" customFormat="1" ht="21">
      <c r="A150" s="71" t="s">
        <v>31</v>
      </c>
      <c r="B150" s="6"/>
      <c r="C150" s="1">
        <v>0</v>
      </c>
      <c r="D150" s="1">
        <f>C154</f>
        <v>347200</v>
      </c>
      <c r="E150" s="1">
        <f>D154</f>
        <v>926528</v>
      </c>
      <c r="F150" s="49">
        <f>E154</f>
        <v>1413600</v>
      </c>
    </row>
    <row r="151" spans="1:6" s="18" customFormat="1" ht="21">
      <c r="A151" s="71" t="s">
        <v>32</v>
      </c>
      <c r="B151" s="6"/>
      <c r="C151" s="1">
        <f>C21</f>
        <v>280000</v>
      </c>
      <c r="D151" s="1">
        <f>D21</f>
        <v>400000</v>
      </c>
      <c r="E151" s="1">
        <f>E21</f>
        <v>1140000</v>
      </c>
      <c r="F151" s="49">
        <v>0</v>
      </c>
    </row>
    <row r="152" spans="1:6" s="18" customFormat="1" ht="21">
      <c r="A152" s="71" t="s">
        <v>28</v>
      </c>
      <c r="B152" s="6"/>
      <c r="C152" s="1">
        <v>0</v>
      </c>
      <c r="D152" s="1">
        <v>0</v>
      </c>
      <c r="E152" s="1">
        <f>D154</f>
        <v>926528</v>
      </c>
      <c r="F152" s="49">
        <f>E154</f>
        <v>1413600</v>
      </c>
    </row>
    <row r="153" spans="1:6" s="18" customFormat="1" ht="21">
      <c r="A153" s="71" t="s">
        <v>64</v>
      </c>
      <c r="B153" s="6"/>
      <c r="C153" s="1">
        <f>(0.02+C14)*(C151+C150-C152)</f>
        <v>67200</v>
      </c>
      <c r="D153" s="1">
        <f>(0.02+D14)*(D151+D150-D152)</f>
        <v>179328</v>
      </c>
      <c r="E153" s="1">
        <f>(0.02+E14)*(E151+E150-E152)</f>
        <v>273600</v>
      </c>
      <c r="F153" s="49">
        <f>(0.02+F14)*(F151+F150-F152)</f>
        <v>0</v>
      </c>
    </row>
    <row r="154" spans="1:6" s="18" customFormat="1" ht="21">
      <c r="A154" s="71" t="s">
        <v>30</v>
      </c>
      <c r="B154" s="6"/>
      <c r="C154" s="1">
        <f>C150-C152+C153+C151</f>
        <v>347200</v>
      </c>
      <c r="D154" s="1">
        <f>D150-D152+D153+D151</f>
        <v>926528</v>
      </c>
      <c r="E154" s="1">
        <f>E150-E152+E153+E151</f>
        <v>1413600</v>
      </c>
      <c r="F154" s="49">
        <f>F150-F152+F153+F151</f>
        <v>0</v>
      </c>
    </row>
    <row r="155" spans="1:6" s="18" customFormat="1" ht="21">
      <c r="A155" s="72"/>
      <c r="B155" s="2"/>
      <c r="C155" s="2"/>
      <c r="D155" s="2"/>
      <c r="E155" s="2"/>
      <c r="F155" s="51"/>
    </row>
    <row r="156" spans="1:6" s="18" customFormat="1" ht="21">
      <c r="A156" s="65" t="s">
        <v>131</v>
      </c>
      <c r="B156" s="3"/>
      <c r="C156" s="20"/>
      <c r="D156" s="20"/>
      <c r="E156" s="20"/>
      <c r="F156" s="52"/>
    </row>
    <row r="157" spans="1:6" s="18" customFormat="1" ht="21">
      <c r="A157" s="71" t="s">
        <v>48</v>
      </c>
      <c r="B157" s="2">
        <f aca="true" t="shared" si="12" ref="B157:B162">SUM(C157:F157)</f>
        <v>829855.5283609986</v>
      </c>
      <c r="C157" s="1">
        <f>B20</f>
        <v>829855.5283609986</v>
      </c>
      <c r="D157" s="1">
        <f>C20</f>
        <v>0</v>
      </c>
      <c r="E157" s="1">
        <f>D20</f>
        <v>0</v>
      </c>
      <c r="F157" s="49">
        <f>E20</f>
        <v>0</v>
      </c>
    </row>
    <row r="158" spans="1:6" s="18" customFormat="1" ht="21">
      <c r="A158" s="71" t="s">
        <v>96</v>
      </c>
      <c r="B158" s="2">
        <f t="shared" si="12"/>
        <v>835719.780224</v>
      </c>
      <c r="C158" s="1">
        <f>C125</f>
        <v>259239.12</v>
      </c>
      <c r="D158" s="1">
        <f>D125</f>
        <v>288387.6464</v>
      </c>
      <c r="E158" s="1">
        <f>E125</f>
        <v>223453.18867199993</v>
      </c>
      <c r="F158" s="49">
        <f>F125</f>
        <v>64639.82515199998</v>
      </c>
    </row>
    <row r="159" spans="1:6" s="18" customFormat="1" ht="21">
      <c r="A159" s="71" t="s">
        <v>87</v>
      </c>
      <c r="B159" s="2">
        <f t="shared" si="12"/>
        <v>41785.9890112</v>
      </c>
      <c r="C159" s="1">
        <f>0.05*C125</f>
        <v>12961.956</v>
      </c>
      <c r="D159" s="1">
        <f>0.05*D125</f>
        <v>14419.382320000002</v>
      </c>
      <c r="E159" s="1">
        <f>0.05*E125</f>
        <v>11172.659433599998</v>
      </c>
      <c r="F159" s="49">
        <f>0.05*F125</f>
        <v>3231.9912575999992</v>
      </c>
    </row>
    <row r="160" spans="1:6" s="18" customFormat="1" ht="21">
      <c r="A160" s="71" t="s">
        <v>97</v>
      </c>
      <c r="B160" s="2">
        <f t="shared" si="12"/>
        <v>520128</v>
      </c>
      <c r="C160" s="1">
        <f>C153</f>
        <v>67200</v>
      </c>
      <c r="D160" s="1">
        <f>D153</f>
        <v>179328</v>
      </c>
      <c r="E160" s="1">
        <f>E153</f>
        <v>273600</v>
      </c>
      <c r="F160" s="49">
        <f>F153</f>
        <v>0</v>
      </c>
    </row>
    <row r="161" spans="1:6" s="18" customFormat="1" ht="21">
      <c r="A161" s="71" t="s">
        <v>98</v>
      </c>
      <c r="B161" s="2">
        <f t="shared" si="12"/>
        <v>16714.39560448</v>
      </c>
      <c r="C161" s="1">
        <f>0.02*C158</f>
        <v>5184.7824</v>
      </c>
      <c r="D161" s="1">
        <f>0.02*D158</f>
        <v>5767.752928000001</v>
      </c>
      <c r="E161" s="1">
        <f>0.02*E158</f>
        <v>4469.063773439999</v>
      </c>
      <c r="F161" s="49">
        <f>0.02*F158</f>
        <v>1292.7965030399996</v>
      </c>
    </row>
    <row r="162" spans="1:6" s="17" customFormat="1" ht="21">
      <c r="A162" s="75" t="s">
        <v>50</v>
      </c>
      <c r="B162" s="2">
        <f t="shared" si="12"/>
        <v>2244203.6932006786</v>
      </c>
      <c r="C162" s="7">
        <f>SUM(C157:C161)</f>
        <v>1174441.3867609985</v>
      </c>
      <c r="D162" s="7">
        <f>SUM(D157:D161)</f>
        <v>487902.781648</v>
      </c>
      <c r="E162" s="7">
        <f>SUM(E157:E161)</f>
        <v>512694.91187903995</v>
      </c>
      <c r="F162" s="54">
        <f>SUM(F157:F161)</f>
        <v>69164.61291263998</v>
      </c>
    </row>
    <row r="163" spans="1:6" s="17" customFormat="1" ht="21">
      <c r="A163" s="71"/>
      <c r="B163" s="1"/>
      <c r="C163" s="1"/>
      <c r="D163" s="1"/>
      <c r="E163" s="1"/>
      <c r="F163" s="49"/>
    </row>
    <row r="164" spans="1:6" s="4" customFormat="1" ht="21">
      <c r="A164" s="65" t="s">
        <v>18</v>
      </c>
      <c r="B164" s="3"/>
      <c r="C164" s="18"/>
      <c r="D164" s="18"/>
      <c r="E164" s="2"/>
      <c r="F164" s="51"/>
    </row>
    <row r="165" spans="1:6" s="21" customFormat="1" ht="21">
      <c r="A165" s="71" t="s">
        <v>48</v>
      </c>
      <c r="B165" s="20">
        <f aca="true" t="shared" si="13" ref="B165:B170">SUM(C165:F165)</f>
        <v>0.36977727595549065</v>
      </c>
      <c r="C165" s="16">
        <f aca="true" t="shared" si="14" ref="C165:F170">C157/$B$162</f>
        <v>0.36977727595549065</v>
      </c>
      <c r="D165" s="16">
        <f t="shared" si="14"/>
        <v>0</v>
      </c>
      <c r="E165" s="16">
        <f t="shared" si="14"/>
        <v>0</v>
      </c>
      <c r="F165" s="48">
        <f t="shared" si="14"/>
        <v>0</v>
      </c>
    </row>
    <row r="166" spans="1:6" s="17" customFormat="1" ht="21">
      <c r="A166" s="71" t="s">
        <v>49</v>
      </c>
      <c r="B166" s="20">
        <f t="shared" si="13"/>
        <v>0.37239034173056645</v>
      </c>
      <c r="C166" s="16">
        <f t="shared" si="14"/>
        <v>0.11551496897782648</v>
      </c>
      <c r="D166" s="16">
        <f t="shared" si="14"/>
        <v>0.1285033293874952</v>
      </c>
      <c r="E166" s="16">
        <f t="shared" si="14"/>
        <v>0.09956903170108924</v>
      </c>
      <c r="F166" s="48">
        <f t="shared" si="14"/>
        <v>0.028803011664155494</v>
      </c>
    </row>
    <row r="167" spans="1:6" s="4" customFormat="1" ht="21">
      <c r="A167" s="71" t="s">
        <v>87</v>
      </c>
      <c r="B167" s="20">
        <f t="shared" si="13"/>
        <v>0.01861951708652832</v>
      </c>
      <c r="C167" s="16">
        <f t="shared" si="14"/>
        <v>0.005775748448891324</v>
      </c>
      <c r="D167" s="16">
        <f t="shared" si="14"/>
        <v>0.006425166469374761</v>
      </c>
      <c r="E167" s="16">
        <f t="shared" si="14"/>
        <v>0.004978451585054463</v>
      </c>
      <c r="F167" s="48">
        <f t="shared" si="14"/>
        <v>0.0014401505832077747</v>
      </c>
    </row>
    <row r="168" spans="1:6" s="4" customFormat="1" ht="21">
      <c r="A168" s="71" t="s">
        <v>14</v>
      </c>
      <c r="B168" s="20">
        <f t="shared" si="13"/>
        <v>0.23176505839280326</v>
      </c>
      <c r="C168" s="16">
        <f t="shared" si="14"/>
        <v>0.02994380599390223</v>
      </c>
      <c r="D168" s="16">
        <f t="shared" si="14"/>
        <v>0.07990718513801338</v>
      </c>
      <c r="E168" s="16">
        <f t="shared" si="14"/>
        <v>0.12191406726088765</v>
      </c>
      <c r="F168" s="48">
        <f t="shared" si="14"/>
        <v>0</v>
      </c>
    </row>
    <row r="169" spans="1:6" s="4" customFormat="1" ht="21">
      <c r="A169" s="71" t="s">
        <v>15</v>
      </c>
      <c r="B169" s="20">
        <f t="shared" si="13"/>
        <v>0.007447806834611329</v>
      </c>
      <c r="C169" s="16">
        <f t="shared" si="14"/>
        <v>0.0023102993795565295</v>
      </c>
      <c r="D169" s="16">
        <f t="shared" si="14"/>
        <v>0.002570066587749904</v>
      </c>
      <c r="E169" s="16">
        <f t="shared" si="14"/>
        <v>0.0019913806340217852</v>
      </c>
      <c r="F169" s="48">
        <f t="shared" si="14"/>
        <v>0.0005760602332831098</v>
      </c>
    </row>
    <row r="170" spans="1:6" s="45" customFormat="1" ht="21">
      <c r="A170" s="72" t="s">
        <v>3</v>
      </c>
      <c r="B170" s="20">
        <f t="shared" si="13"/>
        <v>0.9999999999999999</v>
      </c>
      <c r="C170" s="20">
        <f t="shared" si="14"/>
        <v>0.5233220987556672</v>
      </c>
      <c r="D170" s="20">
        <f t="shared" si="14"/>
        <v>0.21740574758263323</v>
      </c>
      <c r="E170" s="20">
        <f t="shared" si="14"/>
        <v>0.22845293118105314</v>
      </c>
      <c r="F170" s="52">
        <f t="shared" si="14"/>
        <v>0.030819222480646377</v>
      </c>
    </row>
    <row r="171" spans="1:6" s="17" customFormat="1" ht="21">
      <c r="A171" s="71"/>
      <c r="B171" s="1"/>
      <c r="C171" s="1"/>
      <c r="D171" s="1"/>
      <c r="E171" s="1"/>
      <c r="F171" s="49"/>
    </row>
    <row r="172" spans="1:6" s="4" customFormat="1" ht="21">
      <c r="A172" s="65" t="s">
        <v>91</v>
      </c>
      <c r="B172" s="27" t="s">
        <v>27</v>
      </c>
      <c r="C172" s="22"/>
      <c r="D172" s="22"/>
      <c r="E172" s="22"/>
      <c r="F172" s="55"/>
    </row>
    <row r="173" spans="1:6" s="21" customFormat="1" ht="21">
      <c r="A173" s="71" t="s">
        <v>94</v>
      </c>
      <c r="B173" s="2">
        <f>SUM(C173:F173)</f>
        <v>2520409.989119999</v>
      </c>
      <c r="C173" s="1">
        <f>C27*C26</f>
        <v>0</v>
      </c>
      <c r="D173" s="1">
        <f>D27*D26</f>
        <v>0</v>
      </c>
      <c r="E173" s="1">
        <f>E27*E26</f>
        <v>0</v>
      </c>
      <c r="F173" s="49">
        <f>F27*F26</f>
        <v>2520409.989119999</v>
      </c>
    </row>
    <row r="174" spans="1:6" s="4" customFormat="1" ht="21">
      <c r="A174" s="76" t="s">
        <v>93</v>
      </c>
      <c r="B174" s="42">
        <f>SUM(C174:F174)</f>
        <v>1</v>
      </c>
      <c r="C174" s="16">
        <f>C173/$B$173</f>
        <v>0</v>
      </c>
      <c r="D174" s="16">
        <f>D173/$B$173</f>
        <v>0</v>
      </c>
      <c r="E174" s="16">
        <f>E173/$B$173</f>
        <v>0</v>
      </c>
      <c r="F174" s="48">
        <f>F173/$B$173</f>
        <v>1</v>
      </c>
    </row>
    <row r="175" spans="1:6" s="18" customFormat="1" ht="21">
      <c r="A175" s="66"/>
      <c r="B175" s="12"/>
      <c r="C175" s="22"/>
      <c r="D175" s="22"/>
      <c r="E175" s="22"/>
      <c r="F175" s="55"/>
    </row>
    <row r="176" spans="1:6" s="4" customFormat="1" ht="21">
      <c r="A176" s="65" t="s">
        <v>95</v>
      </c>
      <c r="B176" s="3"/>
      <c r="C176" s="1"/>
      <c r="D176" s="1"/>
      <c r="E176" s="1"/>
      <c r="F176" s="49"/>
    </row>
    <row r="177" spans="1:6" s="4" customFormat="1" ht="21">
      <c r="A177" s="71" t="s">
        <v>48</v>
      </c>
      <c r="B177" s="2">
        <f>SUM(C177:F177)</f>
        <v>829855.5283609986</v>
      </c>
      <c r="C177" s="1">
        <f>B20</f>
        <v>829855.5283609986</v>
      </c>
      <c r="D177" s="1">
        <f>C20</f>
        <v>0</v>
      </c>
      <c r="E177" s="1">
        <f>D20</f>
        <v>0</v>
      </c>
      <c r="F177" s="49">
        <f>E20</f>
        <v>0</v>
      </c>
    </row>
    <row r="178" spans="1:6" s="4" customFormat="1" ht="21">
      <c r="A178" s="71" t="s">
        <v>49</v>
      </c>
      <c r="B178" s="2">
        <f>SUM(C178:F178)</f>
        <v>835719.780224</v>
      </c>
      <c r="C178" s="1">
        <f>C158</f>
        <v>259239.12</v>
      </c>
      <c r="D178" s="1">
        <f>D158</f>
        <v>288387.6464</v>
      </c>
      <c r="E178" s="1">
        <f>E158</f>
        <v>223453.18867199993</v>
      </c>
      <c r="F178" s="49">
        <f>F158</f>
        <v>64639.82515199998</v>
      </c>
    </row>
    <row r="179" spans="1:6" s="4" customFormat="1" ht="21">
      <c r="A179" s="72" t="s">
        <v>3</v>
      </c>
      <c r="B179" s="2">
        <f>SUM(C179:F179)</f>
        <v>1665575.3085849984</v>
      </c>
      <c r="C179" s="2">
        <f>SUM(C177:C178)</f>
        <v>1089094.6483609986</v>
      </c>
      <c r="D179" s="2">
        <f>SUM(D177:D178)</f>
        <v>288387.6464</v>
      </c>
      <c r="E179" s="2">
        <f>SUM(E177:E178)</f>
        <v>223453.18867199993</v>
      </c>
      <c r="F179" s="51">
        <f>SUM(F177:F178)</f>
        <v>64639.82515199998</v>
      </c>
    </row>
    <row r="180" spans="1:6" ht="21">
      <c r="A180" s="72"/>
      <c r="B180" s="2"/>
      <c r="C180" s="2"/>
      <c r="D180" s="2"/>
      <c r="E180" s="2"/>
      <c r="F180" s="51"/>
    </row>
    <row r="181" spans="1:6" ht="21">
      <c r="A181" s="65" t="s">
        <v>65</v>
      </c>
      <c r="B181" s="3"/>
      <c r="C181" s="1"/>
      <c r="D181" s="1"/>
      <c r="E181" s="1"/>
      <c r="F181" s="49"/>
    </row>
    <row r="182" spans="1:6" ht="21">
      <c r="A182" s="71" t="s">
        <v>87</v>
      </c>
      <c r="B182" s="2">
        <f>SUM(C182:F182)</f>
        <v>41785.9890112</v>
      </c>
      <c r="C182" s="1">
        <f aca="true" t="shared" si="15" ref="C182:F184">C159</f>
        <v>12961.956</v>
      </c>
      <c r="D182" s="1">
        <f t="shared" si="15"/>
        <v>14419.382320000002</v>
      </c>
      <c r="E182" s="1">
        <f t="shared" si="15"/>
        <v>11172.659433599998</v>
      </c>
      <c r="F182" s="49">
        <f t="shared" si="15"/>
        <v>3231.9912575999992</v>
      </c>
    </row>
    <row r="183" spans="1:6" ht="21">
      <c r="A183" s="71" t="s">
        <v>14</v>
      </c>
      <c r="B183" s="2">
        <f>SUM(C183:F183)</f>
        <v>520128</v>
      </c>
      <c r="C183" s="1">
        <f t="shared" si="15"/>
        <v>67200</v>
      </c>
      <c r="D183" s="1">
        <f t="shared" si="15"/>
        <v>179328</v>
      </c>
      <c r="E183" s="1">
        <f t="shared" si="15"/>
        <v>273600</v>
      </c>
      <c r="F183" s="49">
        <f t="shared" si="15"/>
        <v>0</v>
      </c>
    </row>
    <row r="184" spans="1:6" ht="21">
      <c r="A184" s="71" t="s">
        <v>15</v>
      </c>
      <c r="B184" s="2">
        <f>SUM(C184:F184)</f>
        <v>16714.39560448</v>
      </c>
      <c r="C184" s="1">
        <f t="shared" si="15"/>
        <v>5184.7824</v>
      </c>
      <c r="D184" s="1">
        <f t="shared" si="15"/>
        <v>5767.752928000001</v>
      </c>
      <c r="E184" s="1">
        <f t="shared" si="15"/>
        <v>4469.063773439999</v>
      </c>
      <c r="F184" s="49">
        <f t="shared" si="15"/>
        <v>1292.7965030399996</v>
      </c>
    </row>
    <row r="185" spans="1:6" ht="21">
      <c r="A185" s="72" t="s">
        <v>3</v>
      </c>
      <c r="B185" s="2">
        <f>SUM(C185:F185)</f>
        <v>578628.3846156801</v>
      </c>
      <c r="C185" s="2">
        <f>SUM(C182:C184)</f>
        <v>85346.7384</v>
      </c>
      <c r="D185" s="2">
        <f>SUM(D182:D184)</f>
        <v>199515.135248</v>
      </c>
      <c r="E185" s="2">
        <f>SUM(E182:E184)</f>
        <v>289241.72320704005</v>
      </c>
      <c r="F185" s="51">
        <f>SUM(F182:F184)</f>
        <v>4524.787760639999</v>
      </c>
    </row>
    <row r="186" spans="1:6" s="4" customFormat="1" ht="21">
      <c r="A186" s="72"/>
      <c r="B186" s="2"/>
      <c r="C186" s="2"/>
      <c r="D186" s="2"/>
      <c r="E186" s="2"/>
      <c r="F186" s="51"/>
    </row>
    <row r="187" spans="1:6" s="4" customFormat="1" ht="21">
      <c r="A187" s="66" t="s">
        <v>125</v>
      </c>
      <c r="B187" s="27"/>
      <c r="C187" s="16"/>
      <c r="D187" s="16"/>
      <c r="E187" s="16"/>
      <c r="F187" s="48"/>
    </row>
    <row r="188" spans="1:6" s="4" customFormat="1" ht="21">
      <c r="A188" s="71" t="s">
        <v>100</v>
      </c>
      <c r="B188" s="2">
        <f>SUM(C188:F188)</f>
        <v>854834.6805350007</v>
      </c>
      <c r="C188" s="1">
        <f>C173-C179</f>
        <v>-1089094.6483609986</v>
      </c>
      <c r="D188" s="1">
        <f>D173-D179</f>
        <v>-288387.6464</v>
      </c>
      <c r="E188" s="1">
        <f>E173-E179</f>
        <v>-223453.18867199993</v>
      </c>
      <c r="F188" s="49">
        <f>F173-F179</f>
        <v>2455770.163967999</v>
      </c>
    </row>
    <row r="189" spans="1:6" s="4" customFormat="1" ht="21">
      <c r="A189" s="77"/>
      <c r="B189" s="17"/>
      <c r="C189" s="16"/>
      <c r="D189" s="16"/>
      <c r="E189" s="16"/>
      <c r="F189" s="48"/>
    </row>
    <row r="190" spans="1:6" s="4" customFormat="1" ht="21">
      <c r="A190" s="65" t="s">
        <v>24</v>
      </c>
      <c r="B190" s="3"/>
      <c r="C190" s="1"/>
      <c r="D190" s="1"/>
      <c r="E190" s="1"/>
      <c r="F190" s="49"/>
    </row>
    <row r="191" spans="1:6" s="4" customFormat="1" ht="21">
      <c r="A191" s="71" t="s">
        <v>23</v>
      </c>
      <c r="B191" s="2">
        <f aca="true" t="shared" si="16" ref="B191:B200">SUM(C191:F191)</f>
        <v>2520409.989119999</v>
      </c>
      <c r="C191" s="1">
        <f>C173</f>
        <v>0</v>
      </c>
      <c r="D191" s="1">
        <f>D173</f>
        <v>0</v>
      </c>
      <c r="E191" s="1">
        <f>E173</f>
        <v>0</v>
      </c>
      <c r="F191" s="49">
        <f>F173</f>
        <v>2520409.989119999</v>
      </c>
    </row>
    <row r="192" spans="1:6" s="4" customFormat="1" ht="21">
      <c r="A192" s="71" t="s">
        <v>47</v>
      </c>
      <c r="B192" s="2">
        <f t="shared" si="16"/>
        <v>1665575.3085849984</v>
      </c>
      <c r="C192" s="1">
        <f>C179</f>
        <v>1089094.6483609986</v>
      </c>
      <c r="D192" s="1">
        <f>D179</f>
        <v>288387.6464</v>
      </c>
      <c r="E192" s="1">
        <f>E179</f>
        <v>223453.18867199993</v>
      </c>
      <c r="F192" s="49">
        <f>F179</f>
        <v>64639.82515199998</v>
      </c>
    </row>
    <row r="193" spans="1:6" s="4" customFormat="1" ht="21">
      <c r="A193" s="71" t="s">
        <v>20</v>
      </c>
      <c r="B193" s="2">
        <f t="shared" si="16"/>
        <v>854834.6805350007</v>
      </c>
      <c r="C193" s="1">
        <f>C191-C192</f>
        <v>-1089094.6483609986</v>
      </c>
      <c r="D193" s="1">
        <f>D191-D192</f>
        <v>-288387.6464</v>
      </c>
      <c r="E193" s="1">
        <f>E191-E192</f>
        <v>-223453.18867199993</v>
      </c>
      <c r="F193" s="49">
        <f>F191-F192</f>
        <v>2455770.163967999</v>
      </c>
    </row>
    <row r="194" spans="1:6" ht="21">
      <c r="A194" s="71" t="s">
        <v>130</v>
      </c>
      <c r="B194" s="2">
        <f t="shared" si="16"/>
        <v>41785.9890112</v>
      </c>
      <c r="C194" s="1">
        <f>C182</f>
        <v>12961.956</v>
      </c>
      <c r="D194" s="1">
        <f>D182</f>
        <v>14419.382320000002</v>
      </c>
      <c r="E194" s="1">
        <f>E182</f>
        <v>11172.659433599998</v>
      </c>
      <c r="F194" s="49">
        <f>F182</f>
        <v>3231.9912575999992</v>
      </c>
    </row>
    <row r="195" spans="1:6" ht="21">
      <c r="A195" s="71" t="s">
        <v>26</v>
      </c>
      <c r="B195" s="2">
        <f t="shared" si="16"/>
        <v>813048.6915238006</v>
      </c>
      <c r="C195" s="1">
        <f>C193-C194</f>
        <v>-1102056.6043609986</v>
      </c>
      <c r="D195" s="1">
        <f>D193-D194</f>
        <v>-302807.02872</v>
      </c>
      <c r="E195" s="1">
        <f>E193-E194</f>
        <v>-234625.84810559993</v>
      </c>
      <c r="F195" s="49">
        <f>F193-F194</f>
        <v>2452538.172710399</v>
      </c>
    </row>
    <row r="196" spans="1:6" ht="21">
      <c r="A196" s="71" t="s">
        <v>25</v>
      </c>
      <c r="B196" s="2">
        <f t="shared" si="16"/>
        <v>520128</v>
      </c>
      <c r="C196" s="1">
        <f aca="true" t="shared" si="17" ref="C196:F197">C183</f>
        <v>67200</v>
      </c>
      <c r="D196" s="1">
        <f t="shared" si="17"/>
        <v>179328</v>
      </c>
      <c r="E196" s="1">
        <f t="shared" si="17"/>
        <v>273600</v>
      </c>
      <c r="F196" s="49">
        <f t="shared" si="17"/>
        <v>0</v>
      </c>
    </row>
    <row r="197" spans="1:6" ht="21">
      <c r="A197" s="71" t="s">
        <v>101</v>
      </c>
      <c r="B197" s="2">
        <f t="shared" si="16"/>
        <v>16714.39560448</v>
      </c>
      <c r="C197" s="1">
        <f t="shared" si="17"/>
        <v>5184.7824</v>
      </c>
      <c r="D197" s="1">
        <f t="shared" si="17"/>
        <v>5767.752928000001</v>
      </c>
      <c r="E197" s="1">
        <f t="shared" si="17"/>
        <v>4469.063773439999</v>
      </c>
      <c r="F197" s="49">
        <f t="shared" si="17"/>
        <v>1292.7965030399996</v>
      </c>
    </row>
    <row r="198" spans="1:6" ht="21">
      <c r="A198" s="71" t="s">
        <v>51</v>
      </c>
      <c r="B198" s="2">
        <f t="shared" si="16"/>
        <v>276206.29591932055</v>
      </c>
      <c r="C198" s="1">
        <f>C195-C196-C197</f>
        <v>-1174441.3867609985</v>
      </c>
      <c r="D198" s="1">
        <f>D195-D196-D197</f>
        <v>-487902.781648</v>
      </c>
      <c r="E198" s="1">
        <f>E195-E196-E197</f>
        <v>-512694.91187903995</v>
      </c>
      <c r="F198" s="49">
        <f>F195-F196-F197</f>
        <v>2451245.376207359</v>
      </c>
    </row>
    <row r="199" spans="1:6" ht="21">
      <c r="A199" s="71" t="s">
        <v>52</v>
      </c>
      <c r="B199" s="2">
        <f t="shared" si="16"/>
        <v>0</v>
      </c>
      <c r="C199" s="1">
        <v>0</v>
      </c>
      <c r="D199" s="1">
        <v>0</v>
      </c>
      <c r="E199" s="1">
        <v>0</v>
      </c>
      <c r="F199" s="49">
        <v>0</v>
      </c>
    </row>
    <row r="200" spans="1:6" ht="21">
      <c r="A200" s="72" t="s">
        <v>19</v>
      </c>
      <c r="B200" s="2">
        <f t="shared" si="16"/>
        <v>276206.29591932055</v>
      </c>
      <c r="C200" s="2">
        <f>C198-C199</f>
        <v>-1174441.3867609985</v>
      </c>
      <c r="D200" s="2">
        <f>D198-D199</f>
        <v>-487902.781648</v>
      </c>
      <c r="E200" s="2">
        <f>E198-E199</f>
        <v>-512694.91187903995</v>
      </c>
      <c r="F200" s="51">
        <f>F198-F199</f>
        <v>2451245.376207359</v>
      </c>
    </row>
    <row r="201" spans="1:6" ht="21">
      <c r="A201" s="72"/>
      <c r="B201" s="2"/>
      <c r="C201" s="2"/>
      <c r="D201" s="2"/>
      <c r="E201" s="2"/>
      <c r="F201" s="51"/>
    </row>
    <row r="202" spans="1:6" ht="21">
      <c r="A202" s="65" t="s">
        <v>53</v>
      </c>
      <c r="B202" s="3"/>
      <c r="C202" s="1"/>
      <c r="D202" s="1"/>
      <c r="E202" s="1"/>
      <c r="F202" s="49"/>
    </row>
    <row r="203" spans="1:6" ht="21">
      <c r="A203" s="71" t="s">
        <v>19</v>
      </c>
      <c r="B203" s="2">
        <f>SUM(C203:F203)</f>
        <v>276206.29591932055</v>
      </c>
      <c r="C203" s="1">
        <f>C200</f>
        <v>-1174441.3867609985</v>
      </c>
      <c r="D203" s="1">
        <f>D200</f>
        <v>-487902.781648</v>
      </c>
      <c r="E203" s="1">
        <f>E200</f>
        <v>-512694.91187903995</v>
      </c>
      <c r="F203" s="49">
        <f>F200</f>
        <v>2451245.376207359</v>
      </c>
    </row>
    <row r="204" spans="1:6" s="28" customFormat="1" ht="21">
      <c r="A204" s="71" t="s">
        <v>54</v>
      </c>
      <c r="B204" s="2"/>
      <c r="C204" s="1">
        <v>0</v>
      </c>
      <c r="D204" s="1">
        <f>C208</f>
        <v>-1174441.3867609985</v>
      </c>
      <c r="E204" s="1">
        <f>D208</f>
        <v>-1662344.1684089985</v>
      </c>
      <c r="F204" s="49">
        <f>E208</f>
        <v>-2175039.0802880386</v>
      </c>
    </row>
    <row r="205" spans="1:6" ht="21">
      <c r="A205" s="71" t="s">
        <v>55</v>
      </c>
      <c r="B205" s="2"/>
      <c r="C205" s="1">
        <f>C203+C204</f>
        <v>-1174441.3867609985</v>
      </c>
      <c r="D205" s="1">
        <f>D203+D204</f>
        <v>-1662344.1684089985</v>
      </c>
      <c r="E205" s="1">
        <f>E203+E204</f>
        <v>-2175039.0802880386</v>
      </c>
      <c r="F205" s="49">
        <f>F203+F204</f>
        <v>276206.29591932055</v>
      </c>
    </row>
    <row r="206" spans="1:6" s="4" customFormat="1" ht="21">
      <c r="A206" s="71" t="s">
        <v>56</v>
      </c>
      <c r="B206" s="2">
        <f>SUM(C206:F206)</f>
        <v>13810.314795966027</v>
      </c>
      <c r="C206" s="1">
        <f>IF(C205&lt;0,0,0.05*C205)</f>
        <v>0</v>
      </c>
      <c r="D206" s="1">
        <f>IF(D205&lt;0,0,0.05*D205)</f>
        <v>0</v>
      </c>
      <c r="E206" s="1">
        <f>IF(E205&lt;0,0,0.05*E205)</f>
        <v>0</v>
      </c>
      <c r="F206" s="49">
        <f>IF(F205&lt;0,0,0.05*F205)</f>
        <v>13810.314795966027</v>
      </c>
    </row>
    <row r="207" spans="1:6" s="4" customFormat="1" ht="21">
      <c r="A207" s="71" t="s">
        <v>22</v>
      </c>
      <c r="B207" s="2">
        <f>SUM(C207:F207)</f>
        <v>0</v>
      </c>
      <c r="C207" s="1">
        <v>0</v>
      </c>
      <c r="D207" s="1">
        <v>0</v>
      </c>
      <c r="E207" s="1">
        <v>0</v>
      </c>
      <c r="F207" s="49">
        <v>0</v>
      </c>
    </row>
    <row r="208" spans="1:6" s="4" customFormat="1" ht="21">
      <c r="A208" s="72" t="s">
        <v>57</v>
      </c>
      <c r="B208" s="2"/>
      <c r="C208" s="2">
        <f>C205-C206-C207</f>
        <v>-1174441.3867609985</v>
      </c>
      <c r="D208" s="2">
        <f>D205-D206-D207</f>
        <v>-1662344.1684089985</v>
      </c>
      <c r="E208" s="2">
        <f>E205-E206-E207</f>
        <v>-2175039.0802880386</v>
      </c>
      <c r="F208" s="51">
        <f>F205-F206-F207</f>
        <v>262395.9811233545</v>
      </c>
    </row>
    <row r="209" spans="1:6" s="4" customFormat="1" ht="21">
      <c r="A209" s="72"/>
      <c r="B209" s="2"/>
      <c r="C209" s="2"/>
      <c r="D209" s="2"/>
      <c r="E209" s="2"/>
      <c r="F209" s="51"/>
    </row>
    <row r="210" spans="1:6" s="4" customFormat="1" ht="21">
      <c r="A210" s="65" t="s">
        <v>5</v>
      </c>
      <c r="B210" s="3"/>
      <c r="C210" s="1"/>
      <c r="D210" s="1"/>
      <c r="E210" s="1"/>
      <c r="F210" s="49"/>
    </row>
    <row r="211" spans="1:6" s="4" customFormat="1" ht="21">
      <c r="A211" s="71" t="s">
        <v>118</v>
      </c>
      <c r="B211" s="1"/>
      <c r="C211" s="4">
        <f>C194+C196+C197</f>
        <v>85346.7384</v>
      </c>
      <c r="D211" s="4">
        <f>D194+D196+D197</f>
        <v>199515.135248</v>
      </c>
      <c r="E211" s="4">
        <f>E194+E196+E197</f>
        <v>289241.72320704005</v>
      </c>
      <c r="F211" s="56">
        <f>F194+F196+F197</f>
        <v>4524.787760639999</v>
      </c>
    </row>
    <row r="212" spans="1:6" s="4" customFormat="1" ht="21">
      <c r="A212" s="71" t="s">
        <v>119</v>
      </c>
      <c r="B212" s="1"/>
      <c r="C212" s="1">
        <f>C192</f>
        <v>1089094.6483609986</v>
      </c>
      <c r="D212" s="1">
        <f>D192</f>
        <v>288387.6464</v>
      </c>
      <c r="E212" s="1">
        <f>E192</f>
        <v>223453.18867199993</v>
      </c>
      <c r="F212" s="49">
        <f>F192</f>
        <v>64639.82515199998</v>
      </c>
    </row>
    <row r="213" spans="1:6" s="4" customFormat="1" ht="21">
      <c r="A213" s="72" t="s">
        <v>4</v>
      </c>
      <c r="B213" s="2"/>
      <c r="C213" s="2">
        <f>C211+C212</f>
        <v>1174441.3867609985</v>
      </c>
      <c r="D213" s="2">
        <f>D211+D212</f>
        <v>487902.781648</v>
      </c>
      <c r="E213" s="2">
        <f>E211+E212</f>
        <v>512694.91187903995</v>
      </c>
      <c r="F213" s="51">
        <f>F211+F212</f>
        <v>69164.61291263998</v>
      </c>
    </row>
    <row r="214" spans="1:6" ht="21">
      <c r="A214" s="71"/>
      <c r="B214" s="1"/>
      <c r="C214" s="1"/>
      <c r="D214" s="1"/>
      <c r="E214" s="1"/>
      <c r="F214" s="49"/>
    </row>
    <row r="215" spans="1:6" ht="21">
      <c r="A215" s="65" t="s">
        <v>102</v>
      </c>
      <c r="B215" s="3"/>
      <c r="C215" s="1"/>
      <c r="D215" s="1"/>
      <c r="E215" s="1"/>
      <c r="F215" s="49"/>
    </row>
    <row r="216" spans="1:6" ht="21">
      <c r="A216" s="78" t="s">
        <v>6</v>
      </c>
      <c r="B216" s="24">
        <f>$B$162/(B200+B196)</f>
        <v>2.8181678281353926</v>
      </c>
      <c r="C216" s="24">
        <f>$B$162/(C200+C196)</f>
        <v>-2.026842312827218</v>
      </c>
      <c r="D216" s="24">
        <f>$B$162/(D200+D196)</f>
        <v>-7.272803309509282</v>
      </c>
      <c r="E216" s="24">
        <f>$B$162/(E200+E196)</f>
        <v>-9.386246137835167</v>
      </c>
      <c r="F216" s="50">
        <f>$B$162/(F200+F196)</f>
        <v>0.9155361250177974</v>
      </c>
    </row>
    <row r="217" spans="1:6" ht="21">
      <c r="A217" s="71" t="s">
        <v>139</v>
      </c>
      <c r="B217" s="1">
        <f>B200+B196</f>
        <v>796334.2959193205</v>
      </c>
      <c r="C217" s="1">
        <f>C200+C196</f>
        <v>-1107241.3867609985</v>
      </c>
      <c r="D217" s="1">
        <f>D200+D196</f>
        <v>-308574.781648</v>
      </c>
      <c r="E217" s="1">
        <f>E200+E196</f>
        <v>-239094.91187903995</v>
      </c>
      <c r="F217" s="49">
        <f>F200+F196</f>
        <v>2451245.376207359</v>
      </c>
    </row>
    <row r="218" spans="1:6" ht="21">
      <c r="A218" s="71" t="s">
        <v>7</v>
      </c>
      <c r="B218" s="1"/>
      <c r="C218" s="1">
        <f>B218+C217</f>
        <v>-1107241.3867609985</v>
      </c>
      <c r="D218" s="1">
        <f>C218+D217</f>
        <v>-1415816.1684089985</v>
      </c>
      <c r="E218" s="1">
        <f>D218+E217</f>
        <v>-1654911.0802880386</v>
      </c>
      <c r="F218" s="49">
        <f>E218+F217</f>
        <v>796334.2959193205</v>
      </c>
    </row>
    <row r="219" spans="1:6" ht="21">
      <c r="A219" s="71"/>
      <c r="B219" s="1"/>
      <c r="C219" s="1"/>
      <c r="D219" s="1"/>
      <c r="E219" s="1"/>
      <c r="F219" s="49"/>
    </row>
    <row r="220" spans="1:6" ht="21">
      <c r="A220" s="78" t="s">
        <v>111</v>
      </c>
      <c r="B220" s="24">
        <f>$B$162/B200</f>
        <v>8.125099703940881</v>
      </c>
      <c r="C220" s="24">
        <f>$B$162/C200</f>
        <v>-1.910869046764425</v>
      </c>
      <c r="D220" s="24">
        <f>$B$162/D200</f>
        <v>-4.599694401455106</v>
      </c>
      <c r="E220" s="24">
        <f>$B$162/E200</f>
        <v>-4.377269290572077</v>
      </c>
      <c r="F220" s="50">
        <f>$B$162/F200</f>
        <v>0.9155361250177974</v>
      </c>
    </row>
    <row r="221" spans="1:6" ht="21">
      <c r="A221" s="71" t="s">
        <v>138</v>
      </c>
      <c r="B221" s="1">
        <f>B200</f>
        <v>276206.29591932055</v>
      </c>
      <c r="C221" s="1">
        <f>C200</f>
        <v>-1174441.3867609985</v>
      </c>
      <c r="D221" s="1">
        <f>D200</f>
        <v>-487902.781648</v>
      </c>
      <c r="E221" s="1">
        <f>E200</f>
        <v>-512694.91187903995</v>
      </c>
      <c r="F221" s="49">
        <f>F200</f>
        <v>2451245.376207359</v>
      </c>
    </row>
    <row r="222" spans="1:6" s="28" customFormat="1" ht="21">
      <c r="A222" s="71" t="s">
        <v>112</v>
      </c>
      <c r="B222" s="1"/>
      <c r="C222" s="1">
        <f>B222+C221</f>
        <v>-1174441.3867609985</v>
      </c>
      <c r="D222" s="1">
        <f>C222+D221</f>
        <v>-1662344.1684089985</v>
      </c>
      <c r="E222" s="1">
        <f>D222+E221</f>
        <v>-2175039.0802880386</v>
      </c>
      <c r="F222" s="49">
        <f>E222+F221</f>
        <v>276206.29591932055</v>
      </c>
    </row>
    <row r="223" spans="1:6" s="19" customFormat="1" ht="21">
      <c r="A223" s="71"/>
      <c r="B223" s="1"/>
      <c r="C223" s="1"/>
      <c r="D223" s="1"/>
      <c r="E223" s="1"/>
      <c r="F223" s="49"/>
    </row>
    <row r="224" spans="1:6" ht="21">
      <c r="A224" s="65" t="s">
        <v>62</v>
      </c>
      <c r="B224" s="1" t="s">
        <v>121</v>
      </c>
      <c r="D224" s="1"/>
      <c r="E224" s="1"/>
      <c r="F224" s="49"/>
    </row>
    <row r="225" spans="1:6" ht="21">
      <c r="A225" s="71" t="s">
        <v>152</v>
      </c>
      <c r="B225" s="2">
        <f>-C234-C235</f>
        <v>-899855.5283609986</v>
      </c>
      <c r="C225" s="1">
        <f>C232-C234-C235-C244</f>
        <v>-899855.5283609986</v>
      </c>
      <c r="D225" s="1">
        <f>D232-D234-D235-D244</f>
        <v>-100000</v>
      </c>
      <c r="E225" s="1">
        <f>E232-E234-E235-E244</f>
        <v>-285000</v>
      </c>
      <c r="F225" s="49">
        <f>F232-F234-F235-F244</f>
        <v>2520409.989119999</v>
      </c>
    </row>
    <row r="226" spans="1:6" ht="21">
      <c r="A226" s="70" t="s">
        <v>8</v>
      </c>
      <c r="B226" s="16"/>
      <c r="C226" s="16">
        <f>1/(1+B228)^1</f>
        <v>0.7687762664659917</v>
      </c>
      <c r="D226" s="16">
        <f>$C226*C226</f>
        <v>0.5910169478813895</v>
      </c>
      <c r="E226" s="16">
        <f>$C226*D226</f>
        <v>0.4543598026103802</v>
      </c>
      <c r="F226" s="48">
        <f>$C226*E226</f>
        <v>0.3493010326830331</v>
      </c>
    </row>
    <row r="227" spans="1:6" ht="21">
      <c r="A227" s="71" t="s">
        <v>9</v>
      </c>
      <c r="B227" s="29">
        <f>SUM(C227:F227)</f>
        <v>0</v>
      </c>
      <c r="C227" s="1">
        <f>C225*C226</f>
        <v>-691787.5734521508</v>
      </c>
      <c r="D227" s="1">
        <f>D225*D226</f>
        <v>-59101.69478813895</v>
      </c>
      <c r="E227" s="1">
        <f>E225*E226</f>
        <v>-129492.54374395836</v>
      </c>
      <c r="F227" s="49">
        <f>F225*F226</f>
        <v>880381.8119842479</v>
      </c>
    </row>
    <row r="228" spans="1:6" ht="21">
      <c r="A228" s="70" t="s">
        <v>10</v>
      </c>
      <c r="B228" s="81">
        <f>IRR(C225:F225)</f>
        <v>0.30076856378114625</v>
      </c>
      <c r="D228" s="16"/>
      <c r="E228" s="16"/>
      <c r="F228" s="48"/>
    </row>
    <row r="229" spans="1:6" ht="21">
      <c r="A229" s="71"/>
      <c r="B229" s="1"/>
      <c r="C229" s="1"/>
      <c r="D229" s="1"/>
      <c r="E229" s="1"/>
      <c r="F229" s="49"/>
    </row>
    <row r="230" spans="1:6" ht="21">
      <c r="A230" s="65" t="s">
        <v>11</v>
      </c>
      <c r="B230" s="3"/>
      <c r="C230" s="1"/>
      <c r="D230" s="1"/>
      <c r="E230" s="1"/>
      <c r="F230" s="49"/>
    </row>
    <row r="231" spans="1:6" ht="21">
      <c r="A231" s="71" t="s">
        <v>17</v>
      </c>
      <c r="B231" s="1" t="s">
        <v>27</v>
      </c>
      <c r="C231" s="1">
        <v>0</v>
      </c>
      <c r="D231" s="1">
        <f>C248</f>
        <v>5414.141600000206</v>
      </c>
      <c r="E231" s="1">
        <f>D248</f>
        <v>17511.359952000203</v>
      </c>
      <c r="F231" s="49">
        <f>E248</f>
        <v>3288.4480729603674</v>
      </c>
    </row>
    <row r="232" spans="1:6" ht="21">
      <c r="A232" s="71" t="s">
        <v>63</v>
      </c>
      <c r="B232" s="44">
        <f>SUM(C232:F232)</f>
        <v>2520409.989119999</v>
      </c>
      <c r="C232" s="1">
        <f>C173</f>
        <v>0</v>
      </c>
      <c r="D232" s="1">
        <f>D173</f>
        <v>0</v>
      </c>
      <c r="E232" s="1">
        <f>E173</f>
        <v>0</v>
      </c>
      <c r="F232" s="49">
        <f>F173</f>
        <v>2520409.989119999</v>
      </c>
    </row>
    <row r="233" spans="1:6" ht="21">
      <c r="A233" s="71" t="s">
        <v>16</v>
      </c>
      <c r="B233" s="44">
        <f>SUM(C233:F233)</f>
        <v>0</v>
      </c>
      <c r="C233" s="1">
        <v>0</v>
      </c>
      <c r="D233" s="1">
        <v>0</v>
      </c>
      <c r="E233" s="1">
        <v>0</v>
      </c>
      <c r="F233" s="49">
        <v>0</v>
      </c>
    </row>
    <row r="234" spans="1:6" ht="21">
      <c r="A234" s="71" t="s">
        <v>103</v>
      </c>
      <c r="B234" s="44">
        <f>SUM(C234:F234)</f>
        <v>829855.5283609986</v>
      </c>
      <c r="C234" s="1">
        <f>C157</f>
        <v>829855.5283609986</v>
      </c>
      <c r="D234" s="1">
        <v>0</v>
      </c>
      <c r="E234" s="1">
        <v>0</v>
      </c>
      <c r="F234" s="49">
        <v>0</v>
      </c>
    </row>
    <row r="235" spans="1:6" ht="21">
      <c r="A235" s="71" t="s">
        <v>120</v>
      </c>
      <c r="B235" s="44">
        <f>SUM(C235:F235)</f>
        <v>455000</v>
      </c>
      <c r="C235" s="1">
        <f>C22</f>
        <v>70000</v>
      </c>
      <c r="D235" s="1">
        <f>D22</f>
        <v>100000</v>
      </c>
      <c r="E235" s="1">
        <f>E22</f>
        <v>285000</v>
      </c>
      <c r="F235" s="49">
        <f>F22</f>
        <v>0</v>
      </c>
    </row>
    <row r="236" spans="1:6" ht="21">
      <c r="A236" s="71" t="s">
        <v>29</v>
      </c>
      <c r="B236" s="44">
        <f>SUM(C236:F236)</f>
        <v>1820000</v>
      </c>
      <c r="C236" s="1">
        <f>C151</f>
        <v>280000</v>
      </c>
      <c r="D236" s="1">
        <f>D151</f>
        <v>400000</v>
      </c>
      <c r="E236" s="1">
        <f>E151</f>
        <v>1140000</v>
      </c>
      <c r="F236" s="49">
        <f>F151</f>
        <v>0</v>
      </c>
    </row>
    <row r="237" spans="1:6" ht="21">
      <c r="A237" s="72" t="s">
        <v>12</v>
      </c>
      <c r="B237" s="2"/>
      <c r="C237" s="2">
        <f>SUM(C231:C236)</f>
        <v>1179855.5283609987</v>
      </c>
      <c r="D237" s="2">
        <f>SUM(D231:D236)</f>
        <v>505414.1416000002</v>
      </c>
      <c r="E237" s="2">
        <f>SUM(E231:E236)</f>
        <v>1442511.3599520002</v>
      </c>
      <c r="F237" s="51">
        <f>SUM(F231:F236)</f>
        <v>2523698.4371929597</v>
      </c>
    </row>
    <row r="238" spans="1:6" ht="21">
      <c r="A238" s="72"/>
      <c r="B238" s="2"/>
      <c r="C238" s="2"/>
      <c r="D238" s="2"/>
      <c r="E238" s="2"/>
      <c r="F238" s="51"/>
    </row>
    <row r="239" spans="1:6" ht="21">
      <c r="A239" s="71" t="s">
        <v>122</v>
      </c>
      <c r="B239" s="2"/>
      <c r="C239" s="1">
        <f aca="true" t="shared" si="18" ref="C239:F243">C157</f>
        <v>829855.5283609986</v>
      </c>
      <c r="D239" s="1">
        <f t="shared" si="18"/>
        <v>0</v>
      </c>
      <c r="E239" s="1">
        <f t="shared" si="18"/>
        <v>0</v>
      </c>
      <c r="F239" s="49">
        <f t="shared" si="18"/>
        <v>0</v>
      </c>
    </row>
    <row r="240" spans="1:6" ht="21">
      <c r="A240" s="71" t="s">
        <v>96</v>
      </c>
      <c r="B240" s="1"/>
      <c r="C240" s="1">
        <f t="shared" si="18"/>
        <v>259239.12</v>
      </c>
      <c r="D240" s="1">
        <f t="shared" si="18"/>
        <v>288387.6464</v>
      </c>
      <c r="E240" s="1">
        <f t="shared" si="18"/>
        <v>223453.18867199993</v>
      </c>
      <c r="F240" s="49">
        <f t="shared" si="18"/>
        <v>64639.82515199998</v>
      </c>
    </row>
    <row r="241" spans="1:6" ht="21">
      <c r="A241" s="71" t="s">
        <v>123</v>
      </c>
      <c r="B241" s="1"/>
      <c r="C241" s="1">
        <f t="shared" si="18"/>
        <v>12961.956</v>
      </c>
      <c r="D241" s="1">
        <f t="shared" si="18"/>
        <v>14419.382320000002</v>
      </c>
      <c r="E241" s="1">
        <f t="shared" si="18"/>
        <v>11172.659433599998</v>
      </c>
      <c r="F241" s="49">
        <f t="shared" si="18"/>
        <v>3231.9912575999992</v>
      </c>
    </row>
    <row r="242" spans="1:6" ht="21">
      <c r="A242" s="71" t="s">
        <v>14</v>
      </c>
      <c r="B242" s="1"/>
      <c r="C242" s="1">
        <f t="shared" si="18"/>
        <v>67200</v>
      </c>
      <c r="D242" s="1">
        <f t="shared" si="18"/>
        <v>179328</v>
      </c>
      <c r="E242" s="1">
        <f t="shared" si="18"/>
        <v>273600</v>
      </c>
      <c r="F242" s="49">
        <f t="shared" si="18"/>
        <v>0</v>
      </c>
    </row>
    <row r="243" spans="1:6" ht="21">
      <c r="A243" s="71" t="s">
        <v>15</v>
      </c>
      <c r="B243" s="1"/>
      <c r="C243" s="1">
        <f t="shared" si="18"/>
        <v>5184.7824</v>
      </c>
      <c r="D243" s="1">
        <f t="shared" si="18"/>
        <v>5767.752928000001</v>
      </c>
      <c r="E243" s="1">
        <f t="shared" si="18"/>
        <v>4469.063773439999</v>
      </c>
      <c r="F243" s="49">
        <f t="shared" si="18"/>
        <v>1292.7965030399996</v>
      </c>
    </row>
    <row r="244" spans="1:6" ht="21">
      <c r="A244" s="71" t="s">
        <v>59</v>
      </c>
      <c r="B244" s="1"/>
      <c r="C244" s="1">
        <f>C199</f>
        <v>0</v>
      </c>
      <c r="D244" s="1">
        <f>D199</f>
        <v>0</v>
      </c>
      <c r="E244" s="1">
        <f>E199</f>
        <v>0</v>
      </c>
      <c r="F244" s="49">
        <f>F199</f>
        <v>0</v>
      </c>
    </row>
    <row r="245" spans="1:6" ht="21">
      <c r="A245" s="71" t="s">
        <v>60</v>
      </c>
      <c r="B245" s="1"/>
      <c r="C245" s="1">
        <f>C207</f>
        <v>0</v>
      </c>
      <c r="D245" s="1">
        <f>D207</f>
        <v>0</v>
      </c>
      <c r="E245" s="1">
        <f>E207</f>
        <v>0</v>
      </c>
      <c r="F245" s="49">
        <f>F207</f>
        <v>0</v>
      </c>
    </row>
    <row r="246" spans="1:6" ht="21">
      <c r="A246" s="71" t="s">
        <v>61</v>
      </c>
      <c r="B246" s="1"/>
      <c r="C246" s="1">
        <f>C152</f>
        <v>0</v>
      </c>
      <c r="D246" s="1">
        <f>D152</f>
        <v>0</v>
      </c>
      <c r="E246" s="1">
        <f>E152</f>
        <v>926528</v>
      </c>
      <c r="F246" s="49">
        <f>F152</f>
        <v>1413600</v>
      </c>
    </row>
    <row r="247" spans="1:6" ht="21">
      <c r="A247" s="72" t="s">
        <v>13</v>
      </c>
      <c r="B247" s="2"/>
      <c r="C247" s="2">
        <f>SUM(C239:C246)</f>
        <v>1174441.3867609985</v>
      </c>
      <c r="D247" s="2">
        <f>SUM(D239:D246)</f>
        <v>487902.781648</v>
      </c>
      <c r="E247" s="2">
        <f>SUM(E239:E246)</f>
        <v>1439222.9118790398</v>
      </c>
      <c r="F247" s="51">
        <f>SUM(F239:F246)</f>
        <v>1482764.61291264</v>
      </c>
    </row>
    <row r="248" spans="1:6" ht="21">
      <c r="A248" s="75" t="s">
        <v>21</v>
      </c>
      <c r="B248" s="7"/>
      <c r="C248" s="7">
        <f>C237-C247</f>
        <v>5414.141600000206</v>
      </c>
      <c r="D248" s="7">
        <f>D237-D247</f>
        <v>17511.359952000203</v>
      </c>
      <c r="E248" s="7">
        <f>E237-E247</f>
        <v>3288.4480729603674</v>
      </c>
      <c r="F248" s="54">
        <f>F237-F247</f>
        <v>1040933.8242803197</v>
      </c>
    </row>
    <row r="249" spans="1:6" ht="21">
      <c r="A249" s="71"/>
      <c r="B249" s="1"/>
      <c r="C249" s="1"/>
      <c r="D249" s="1"/>
      <c r="E249" s="1"/>
      <c r="F249" s="49"/>
    </row>
    <row r="250" spans="1:6" ht="21">
      <c r="A250" s="65" t="s">
        <v>46</v>
      </c>
      <c r="B250" s="3"/>
      <c r="C250" s="1"/>
      <c r="D250" s="1"/>
      <c r="E250" s="1"/>
      <c r="F250" s="49"/>
    </row>
    <row r="251" spans="1:6" ht="21">
      <c r="A251" s="71" t="s">
        <v>17</v>
      </c>
      <c r="B251" s="1"/>
      <c r="C251" s="16">
        <f aca="true" t="shared" si="19" ref="C251:F256">C231/C$237</f>
        <v>0</v>
      </c>
      <c r="D251" s="16">
        <f t="shared" si="19"/>
        <v>0.01071228751704601</v>
      </c>
      <c r="E251" s="16">
        <f t="shared" si="19"/>
        <v>0.012139495353841023</v>
      </c>
      <c r="F251" s="48">
        <f t="shared" si="19"/>
        <v>0.0013030273445103122</v>
      </c>
    </row>
    <row r="252" spans="1:6" ht="21">
      <c r="A252" s="71" t="s">
        <v>63</v>
      </c>
      <c r="B252" s="29"/>
      <c r="C252" s="16">
        <f t="shared" si="19"/>
        <v>0</v>
      </c>
      <c r="D252" s="16">
        <f t="shared" si="19"/>
        <v>0</v>
      </c>
      <c r="E252" s="16">
        <f t="shared" si="19"/>
        <v>0</v>
      </c>
      <c r="F252" s="48">
        <f t="shared" si="19"/>
        <v>0.9986969726554896</v>
      </c>
    </row>
    <row r="253" spans="1:6" ht="21">
      <c r="A253" s="71" t="s">
        <v>16</v>
      </c>
      <c r="B253" s="29"/>
      <c r="C253" s="16">
        <f t="shared" si="19"/>
        <v>0</v>
      </c>
      <c r="D253" s="16">
        <f t="shared" si="19"/>
        <v>0</v>
      </c>
      <c r="E253" s="16">
        <f t="shared" si="19"/>
        <v>0</v>
      </c>
      <c r="F253" s="48">
        <f t="shared" si="19"/>
        <v>0</v>
      </c>
    </row>
    <row r="254" spans="1:6" ht="21">
      <c r="A254" s="71" t="s">
        <v>103</v>
      </c>
      <c r="B254" s="29"/>
      <c r="C254" s="16">
        <f t="shared" si="19"/>
        <v>0.7033535110131627</v>
      </c>
      <c r="D254" s="16">
        <f t="shared" si="19"/>
        <v>0</v>
      </c>
      <c r="E254" s="16">
        <f t="shared" si="19"/>
        <v>0</v>
      </c>
      <c r="F254" s="48">
        <f t="shared" si="19"/>
        <v>0</v>
      </c>
    </row>
    <row r="255" spans="1:6" ht="21">
      <c r="A255" s="71" t="s">
        <v>120</v>
      </c>
      <c r="B255" s="29"/>
      <c r="C255" s="16">
        <f t="shared" si="19"/>
        <v>0.05932929779736744</v>
      </c>
      <c r="D255" s="16">
        <f t="shared" si="19"/>
        <v>0.1978575424965908</v>
      </c>
      <c r="E255" s="16">
        <f t="shared" si="19"/>
        <v>0.1975721009292318</v>
      </c>
      <c r="F255" s="48">
        <f t="shared" si="19"/>
        <v>0</v>
      </c>
    </row>
    <row r="256" spans="1:6" ht="21">
      <c r="A256" s="71" t="s">
        <v>29</v>
      </c>
      <c r="B256" s="29"/>
      <c r="C256" s="16">
        <f t="shared" si="19"/>
        <v>0.23731719118946976</v>
      </c>
      <c r="D256" s="16">
        <f t="shared" si="19"/>
        <v>0.7914301699863632</v>
      </c>
      <c r="E256" s="16">
        <f t="shared" si="19"/>
        <v>0.7902884037169272</v>
      </c>
      <c r="F256" s="48">
        <f t="shared" si="19"/>
        <v>0</v>
      </c>
    </row>
    <row r="257" spans="1:6" ht="21">
      <c r="A257" s="72" t="s">
        <v>12</v>
      </c>
      <c r="B257" s="2"/>
      <c r="C257" s="30">
        <f>SUM(C251:C256)</f>
        <v>0.9999999999999998</v>
      </c>
      <c r="D257" s="30">
        <f>SUM(D251:D256)</f>
        <v>1</v>
      </c>
      <c r="E257" s="30">
        <f>SUM(E251:E256)</f>
        <v>1</v>
      </c>
      <c r="F257" s="57">
        <f>SUM(F251:F256)</f>
        <v>0.9999999999999999</v>
      </c>
    </row>
    <row r="258" spans="1:6" ht="21">
      <c r="A258" s="72"/>
      <c r="B258" s="2"/>
      <c r="C258" s="2"/>
      <c r="D258" s="2"/>
      <c r="E258" s="2"/>
      <c r="F258" s="51"/>
    </row>
    <row r="259" spans="1:6" ht="21">
      <c r="A259" s="71" t="s">
        <v>122</v>
      </c>
      <c r="B259" s="2"/>
      <c r="C259" s="16">
        <f aca="true" t="shared" si="20" ref="C259:F267">C239/C$247</f>
        <v>0.7065959508202141</v>
      </c>
      <c r="D259" s="16">
        <f t="shared" si="20"/>
        <v>0</v>
      </c>
      <c r="E259" s="16">
        <f t="shared" si="20"/>
        <v>0</v>
      </c>
      <c r="F259" s="48">
        <f t="shared" si="20"/>
        <v>0</v>
      </c>
    </row>
    <row r="260" spans="1:6" ht="21">
      <c r="A260" s="71" t="s">
        <v>96</v>
      </c>
      <c r="B260" s="1"/>
      <c r="C260" s="16">
        <f t="shared" si="20"/>
        <v>0.2207339786576814</v>
      </c>
      <c r="D260" s="16">
        <f t="shared" si="20"/>
        <v>0.591076044752003</v>
      </c>
      <c r="E260" s="16">
        <f t="shared" si="20"/>
        <v>0.155259610465943</v>
      </c>
      <c r="F260" s="48">
        <f t="shared" si="20"/>
        <v>0.043594124508424835</v>
      </c>
    </row>
    <row r="261" spans="1:6" ht="21">
      <c r="A261" s="71" t="s">
        <v>123</v>
      </c>
      <c r="B261" s="1"/>
      <c r="C261" s="16">
        <f t="shared" si="20"/>
        <v>0.01103669893288407</v>
      </c>
      <c r="D261" s="16">
        <f t="shared" si="20"/>
        <v>0.029553802237600155</v>
      </c>
      <c r="E261" s="16">
        <f t="shared" si="20"/>
        <v>0.007762980523297151</v>
      </c>
      <c r="F261" s="48">
        <f t="shared" si="20"/>
        <v>0.002179706225421242</v>
      </c>
    </row>
    <row r="262" spans="1:6" ht="21">
      <c r="A262" s="71" t="s">
        <v>14</v>
      </c>
      <c r="B262" s="1"/>
      <c r="C262" s="16">
        <f t="shared" si="20"/>
        <v>0.05721869201606683</v>
      </c>
      <c r="D262" s="16">
        <f t="shared" si="20"/>
        <v>0.36754863211535677</v>
      </c>
      <c r="E262" s="16">
        <f t="shared" si="20"/>
        <v>0.19010258782136094</v>
      </c>
      <c r="F262" s="48">
        <f t="shared" si="20"/>
        <v>0</v>
      </c>
    </row>
    <row r="263" spans="1:6" ht="21">
      <c r="A263" s="71" t="s">
        <v>15</v>
      </c>
      <c r="B263" s="1"/>
      <c r="C263" s="16">
        <f t="shared" si="20"/>
        <v>0.004414679573153628</v>
      </c>
      <c r="D263" s="16">
        <f t="shared" si="20"/>
        <v>0.011821520895040061</v>
      </c>
      <c r="E263" s="16">
        <f t="shared" si="20"/>
        <v>0.00310519220931886</v>
      </c>
      <c r="F263" s="48">
        <f t="shared" si="20"/>
        <v>0.0008718824901684967</v>
      </c>
    </row>
    <row r="264" spans="1:6" ht="21">
      <c r="A264" s="71" t="s">
        <v>59</v>
      </c>
      <c r="B264" s="1"/>
      <c r="C264" s="16">
        <f t="shared" si="20"/>
        <v>0</v>
      </c>
      <c r="D264" s="16">
        <f t="shared" si="20"/>
        <v>0</v>
      </c>
      <c r="E264" s="16">
        <f t="shared" si="20"/>
        <v>0</v>
      </c>
      <c r="F264" s="48">
        <f t="shared" si="20"/>
        <v>0</v>
      </c>
    </row>
    <row r="265" spans="1:6" ht="21">
      <c r="A265" s="71" t="s">
        <v>60</v>
      </c>
      <c r="B265" s="1"/>
      <c r="C265" s="16">
        <f t="shared" si="20"/>
        <v>0</v>
      </c>
      <c r="D265" s="16">
        <f t="shared" si="20"/>
        <v>0</v>
      </c>
      <c r="E265" s="16">
        <f t="shared" si="20"/>
        <v>0</v>
      </c>
      <c r="F265" s="48">
        <f t="shared" si="20"/>
        <v>0</v>
      </c>
    </row>
    <row r="266" spans="1:6" ht="21">
      <c r="A266" s="71" t="s">
        <v>61</v>
      </c>
      <c r="B266" s="1"/>
      <c r="C266" s="16">
        <f t="shared" si="20"/>
        <v>0</v>
      </c>
      <c r="D266" s="16">
        <f t="shared" si="20"/>
        <v>0</v>
      </c>
      <c r="E266" s="16">
        <f t="shared" si="20"/>
        <v>0.64376962898008</v>
      </c>
      <c r="F266" s="48">
        <f t="shared" si="20"/>
        <v>0.9533542867759854</v>
      </c>
    </row>
    <row r="267" spans="1:6" ht="21">
      <c r="A267" s="72" t="s">
        <v>13</v>
      </c>
      <c r="B267" s="2"/>
      <c r="C267" s="20">
        <f t="shared" si="20"/>
        <v>1</v>
      </c>
      <c r="D267" s="20">
        <f t="shared" si="20"/>
        <v>1</v>
      </c>
      <c r="E267" s="20">
        <f t="shared" si="20"/>
        <v>1</v>
      </c>
      <c r="F267" s="52">
        <f t="shared" si="20"/>
        <v>1</v>
      </c>
    </row>
    <row r="268" spans="1:6" ht="21.75" thickBot="1">
      <c r="A268" s="79" t="s">
        <v>21</v>
      </c>
      <c r="B268" s="58"/>
      <c r="C268" s="59">
        <f>C248/C247</f>
        <v>0.004609971737228975</v>
      </c>
      <c r="D268" s="59">
        <f>D248/D247</f>
        <v>0.03589108447558281</v>
      </c>
      <c r="E268" s="59">
        <f>E248/E247</f>
        <v>0.0022848775167614525</v>
      </c>
      <c r="F268" s="60">
        <f>F248/F247</f>
        <v>0.7020223002460124</v>
      </c>
    </row>
    <row r="269" ht="21.75" thickTop="1">
      <c r="A269" s="80"/>
    </row>
    <row r="270" ht="21">
      <c r="A270" s="80"/>
    </row>
    <row r="271" ht="21">
      <c r="A271" s="80"/>
    </row>
    <row r="272" ht="21">
      <c r="A272" s="80"/>
    </row>
    <row r="273" ht="21">
      <c r="A273" s="80"/>
    </row>
    <row r="274" ht="21">
      <c r="A274" s="80"/>
    </row>
    <row r="275" ht="21">
      <c r="A275" s="80"/>
    </row>
    <row r="276" ht="21">
      <c r="A276" s="80"/>
    </row>
    <row r="277" ht="21">
      <c r="A277" s="80"/>
    </row>
    <row r="278" ht="21">
      <c r="A278" s="80"/>
    </row>
    <row r="279" ht="21">
      <c r="A279" s="80"/>
    </row>
    <row r="280" ht="21">
      <c r="A280" s="80"/>
    </row>
    <row r="281" ht="21">
      <c r="A281" s="80"/>
    </row>
    <row r="282" ht="21">
      <c r="A282" s="80"/>
    </row>
    <row r="283" ht="21">
      <c r="A283" s="80"/>
    </row>
    <row r="284" ht="21">
      <c r="A284" s="80"/>
    </row>
    <row r="285" ht="21">
      <c r="A285" s="80"/>
    </row>
    <row r="286" ht="21">
      <c r="A286" s="80"/>
    </row>
    <row r="287" ht="21">
      <c r="A287" s="80"/>
    </row>
    <row r="288" ht="21">
      <c r="A288" s="80"/>
    </row>
    <row r="289" ht="21">
      <c r="A289" s="80"/>
    </row>
    <row r="290" ht="21">
      <c r="A290" s="80"/>
    </row>
    <row r="291" ht="21">
      <c r="A291" s="80"/>
    </row>
    <row r="292" ht="21">
      <c r="A292" s="80"/>
    </row>
    <row r="293" ht="21">
      <c r="A293" s="80"/>
    </row>
    <row r="294" ht="21">
      <c r="A294" s="80"/>
    </row>
    <row r="295" ht="21">
      <c r="A295" s="80"/>
    </row>
    <row r="296" ht="21">
      <c r="A296" s="80"/>
    </row>
    <row r="297" ht="21">
      <c r="A297" s="80"/>
    </row>
    <row r="298" ht="21">
      <c r="A298" s="80"/>
    </row>
    <row r="299" ht="21">
      <c r="A299" s="80"/>
    </row>
    <row r="300" ht="21">
      <c r="A300" s="80"/>
    </row>
    <row r="301" ht="21">
      <c r="A301" s="80"/>
    </row>
    <row r="302" ht="21">
      <c r="A302" s="80"/>
    </row>
    <row r="303" ht="21">
      <c r="A303" s="80"/>
    </row>
    <row r="304" ht="21">
      <c r="A304" s="80"/>
    </row>
    <row r="305" ht="21">
      <c r="A305" s="80"/>
    </row>
    <row r="306" ht="21">
      <c r="A306" s="80"/>
    </row>
    <row r="307" ht="21">
      <c r="A307" s="80"/>
    </row>
    <row r="308" ht="21">
      <c r="A308" s="80"/>
    </row>
    <row r="309" ht="21">
      <c r="A309" s="80"/>
    </row>
    <row r="310" ht="21">
      <c r="A310" s="80"/>
    </row>
    <row r="311" ht="21">
      <c r="A311" s="80"/>
    </row>
    <row r="312" ht="21">
      <c r="A312" s="80"/>
    </row>
    <row r="313" ht="21">
      <c r="A313" s="80"/>
    </row>
    <row r="314" ht="21">
      <c r="A314" s="80"/>
    </row>
    <row r="315" ht="21">
      <c r="A315" s="80"/>
    </row>
    <row r="316" ht="21">
      <c r="A316" s="80"/>
    </row>
    <row r="317" ht="21">
      <c r="A317" s="80"/>
    </row>
    <row r="318" ht="21">
      <c r="A318" s="80"/>
    </row>
    <row r="319" ht="21">
      <c r="A319" s="80"/>
    </row>
    <row r="320" ht="21">
      <c r="A320" s="80"/>
    </row>
    <row r="321" ht="21">
      <c r="A321" s="80"/>
    </row>
    <row r="322" ht="21">
      <c r="A322" s="80"/>
    </row>
    <row r="323" ht="21">
      <c r="A323" s="80"/>
    </row>
    <row r="324" ht="21">
      <c r="A324" s="80"/>
    </row>
    <row r="325" ht="21">
      <c r="A325" s="80"/>
    </row>
    <row r="326" ht="21">
      <c r="A326" s="80"/>
    </row>
    <row r="327" ht="21">
      <c r="A327" s="80"/>
    </row>
  </sheetData>
  <mergeCells count="11">
    <mergeCell ref="A11:B11"/>
    <mergeCell ref="A2:F2"/>
    <mergeCell ref="A3:F3"/>
    <mergeCell ref="A4:F4"/>
    <mergeCell ref="A5:F5"/>
    <mergeCell ref="A6:F6"/>
    <mergeCell ref="A7:F7"/>
    <mergeCell ref="A10:F10"/>
    <mergeCell ref="A9:F9"/>
    <mergeCell ref="A8:F8"/>
    <mergeCell ref="A1:F1"/>
  </mergeCells>
  <conditionalFormatting sqref="C189:F189 C187:F187">
    <cfRule type="cellIs" priority="1" dxfId="0" operator="lessThan" stopIfTrue="1">
      <formula>0</formula>
    </cfRule>
  </conditionalFormatting>
  <conditionalFormatting sqref="C188:F188">
    <cfRule type="cellIs" priority="2" dxfId="1" operator="lessThan" stopIfTrue="1">
      <formula>0</formula>
    </cfRule>
  </conditionalFormatting>
  <printOptions gridLines="1" horizontalCentered="1" verticalCentered="1"/>
  <pageMargins left="0.5" right="0.5" top="0.75" bottom="0.62" header="0.35" footer="0.35"/>
  <pageSetup horizontalDpi="600" verticalDpi="600" orientation="portrait" paperSize="9" r:id="rId1"/>
  <headerFooter alignWithMargins="0">
    <oddHeader>&amp;L&amp;"B Kamran,Regular"&amp;14شركت سرمايه‌گذاري ساختمان و صنعت</oddHeader>
    <oddFooter>&amp;R&amp;"B Kamran,Regular"&amp;12صفحة &amp;P از &amp;N صفحه</oddFooter>
  </headerFooter>
</worksheet>
</file>

<file path=xl/worksheets/sheet3.xml><?xml version="1.0" encoding="utf-8"?>
<worksheet xmlns="http://schemas.openxmlformats.org/spreadsheetml/2006/main" xmlns:r="http://schemas.openxmlformats.org/officeDocument/2006/relationships">
  <sheetPr>
    <tabColor indexed="13"/>
  </sheetPr>
  <dimension ref="A1:K327"/>
  <sheetViews>
    <sheetView rightToLeft="1" tabSelected="1" workbookViewId="0" topLeftCell="A17">
      <pane xSplit="12645" ySplit="4395" topLeftCell="E243" activePane="topLeft" state="split"/>
      <selection pane="topLeft" activeCell="A11" sqref="A11:B11"/>
      <selection pane="topRight" activeCell="A11" sqref="A11:B11"/>
      <selection pane="bottomLeft" activeCell="A11" sqref="A11:B11"/>
      <selection pane="bottomRight" activeCell="A11" sqref="A11:B11"/>
    </sheetView>
  </sheetViews>
  <sheetFormatPr defaultColWidth="9.140625" defaultRowHeight="12.75"/>
  <cols>
    <col min="1" max="1" width="42.00390625" style="67" customWidth="1"/>
    <col min="2" max="2" width="9.57421875" style="23" customWidth="1"/>
    <col min="3" max="3" width="10.7109375" style="13" customWidth="1"/>
    <col min="4" max="6" width="9.00390625" style="13" customWidth="1"/>
    <col min="7" max="16384" width="9.140625" style="13" customWidth="1"/>
  </cols>
  <sheetData>
    <row r="1" spans="1:11" s="62" customFormat="1" ht="35.25" customHeight="1" thickBot="1" thickTop="1">
      <c r="A1" s="84" t="s">
        <v>117</v>
      </c>
      <c r="B1" s="85"/>
      <c r="C1" s="85"/>
      <c r="D1" s="85"/>
      <c r="E1" s="85"/>
      <c r="F1" s="86"/>
      <c r="G1" s="61"/>
      <c r="H1" s="61"/>
      <c r="I1" s="61"/>
      <c r="J1" s="61"/>
      <c r="K1" s="61"/>
    </row>
    <row r="2" spans="1:11" s="63" customFormat="1" ht="32.25" customHeight="1" thickTop="1">
      <c r="A2" s="89" t="s">
        <v>153</v>
      </c>
      <c r="B2" s="90"/>
      <c r="C2" s="90"/>
      <c r="D2" s="90"/>
      <c r="E2" s="90"/>
      <c r="F2" s="90"/>
      <c r="G2" s="61"/>
      <c r="H2" s="61"/>
      <c r="I2" s="61"/>
      <c r="J2" s="61"/>
      <c r="K2" s="61"/>
    </row>
    <row r="3" spans="1:11" s="63" customFormat="1" ht="47.25" customHeight="1">
      <c r="A3" s="83" t="s">
        <v>156</v>
      </c>
      <c r="B3" s="83"/>
      <c r="C3" s="83"/>
      <c r="D3" s="83"/>
      <c r="E3" s="83"/>
      <c r="F3" s="83"/>
      <c r="G3" s="61"/>
      <c r="H3" s="61"/>
      <c r="I3" s="61"/>
      <c r="J3" s="61"/>
      <c r="K3" s="61"/>
    </row>
    <row r="4" spans="1:11" s="63" customFormat="1" ht="22.5" customHeight="1">
      <c r="A4" s="83" t="s">
        <v>157</v>
      </c>
      <c r="B4" s="83"/>
      <c r="C4" s="83"/>
      <c r="D4" s="83"/>
      <c r="E4" s="83"/>
      <c r="F4" s="83"/>
      <c r="G4" s="61"/>
      <c r="H4" s="61"/>
      <c r="I4" s="61"/>
      <c r="J4" s="61"/>
      <c r="K4" s="61"/>
    </row>
    <row r="5" spans="1:11" s="63" customFormat="1" ht="48.75" customHeight="1">
      <c r="A5" s="83" t="s">
        <v>158</v>
      </c>
      <c r="B5" s="83"/>
      <c r="C5" s="83"/>
      <c r="D5" s="83"/>
      <c r="E5" s="83"/>
      <c r="F5" s="83"/>
      <c r="G5" s="61"/>
      <c r="H5" s="61"/>
      <c r="I5" s="61"/>
      <c r="J5" s="61"/>
      <c r="K5" s="61"/>
    </row>
    <row r="6" spans="1:11" s="63" customFormat="1" ht="21" customHeight="1">
      <c r="A6" s="83" t="s">
        <v>159</v>
      </c>
      <c r="B6" s="83"/>
      <c r="C6" s="83"/>
      <c r="D6" s="83"/>
      <c r="E6" s="83"/>
      <c r="F6" s="83"/>
      <c r="G6" s="61"/>
      <c r="H6" s="61"/>
      <c r="I6" s="61"/>
      <c r="J6" s="61"/>
      <c r="K6" s="61"/>
    </row>
    <row r="7" spans="1:11" s="63" customFormat="1" ht="22.5" customHeight="1">
      <c r="A7" s="83" t="s">
        <v>160</v>
      </c>
      <c r="B7" s="83"/>
      <c r="C7" s="83"/>
      <c r="D7" s="83"/>
      <c r="E7" s="83"/>
      <c r="F7" s="83"/>
      <c r="G7" s="61"/>
      <c r="H7" s="61"/>
      <c r="I7" s="61"/>
      <c r="J7" s="61"/>
      <c r="K7" s="61"/>
    </row>
    <row r="8" spans="1:11" s="63" customFormat="1" ht="22.5" customHeight="1">
      <c r="A8" s="83" t="s">
        <v>161</v>
      </c>
      <c r="B8" s="83"/>
      <c r="C8" s="83"/>
      <c r="D8" s="83"/>
      <c r="E8" s="83"/>
      <c r="F8" s="83"/>
      <c r="G8" s="61"/>
      <c r="H8" s="61"/>
      <c r="I8" s="61"/>
      <c r="J8" s="61"/>
      <c r="K8" s="61"/>
    </row>
    <row r="9" spans="1:11" s="63" customFormat="1" ht="22.5" customHeight="1">
      <c r="A9" s="83" t="s">
        <v>155</v>
      </c>
      <c r="B9" s="83"/>
      <c r="C9" s="83"/>
      <c r="D9" s="83"/>
      <c r="E9" s="83"/>
      <c r="F9" s="83"/>
      <c r="G9" s="61"/>
      <c r="H9" s="61"/>
      <c r="I9" s="61"/>
      <c r="J9" s="61"/>
      <c r="K9" s="61"/>
    </row>
    <row r="10" spans="1:11" s="63" customFormat="1" ht="137.25" customHeight="1" thickBot="1">
      <c r="A10" s="82" t="s">
        <v>154</v>
      </c>
      <c r="B10" s="82"/>
      <c r="C10" s="82"/>
      <c r="D10" s="82"/>
      <c r="E10" s="82"/>
      <c r="F10" s="82"/>
      <c r="G10" s="61"/>
      <c r="H10" s="61"/>
      <c r="I10" s="61"/>
      <c r="J10" s="61"/>
      <c r="K10" s="61"/>
    </row>
    <row r="11" spans="1:6" s="43" customFormat="1" ht="30" thickBot="1" thickTop="1">
      <c r="A11" s="87" t="s">
        <v>169</v>
      </c>
      <c r="B11" s="88"/>
      <c r="C11" s="68" t="s">
        <v>113</v>
      </c>
      <c r="D11" s="68" t="s">
        <v>114</v>
      </c>
      <c r="E11" s="68" t="s">
        <v>115</v>
      </c>
      <c r="F11" s="69" t="s">
        <v>116</v>
      </c>
    </row>
    <row r="12" spans="1:6" s="15" customFormat="1" ht="21.75" thickTop="1">
      <c r="A12" s="64" t="s">
        <v>1</v>
      </c>
      <c r="B12" s="26"/>
      <c r="C12" s="14"/>
      <c r="D12" s="14"/>
      <c r="E12" s="14"/>
      <c r="F12" s="47"/>
    </row>
    <row r="13" spans="1:6" s="17" customFormat="1" ht="21">
      <c r="A13" s="70" t="s">
        <v>2</v>
      </c>
      <c r="B13" s="16"/>
      <c r="C13" s="16">
        <v>0.16</v>
      </c>
      <c r="D13" s="16">
        <v>0.16</v>
      </c>
      <c r="E13" s="16">
        <v>0.16</v>
      </c>
      <c r="F13" s="48">
        <v>0.16</v>
      </c>
    </row>
    <row r="14" spans="1:6" s="17" customFormat="1" ht="21">
      <c r="A14" s="70" t="s">
        <v>90</v>
      </c>
      <c r="B14" s="16"/>
      <c r="C14" s="16">
        <v>0.22</v>
      </c>
      <c r="D14" s="16">
        <v>0.22</v>
      </c>
      <c r="E14" s="16">
        <v>0.22</v>
      </c>
      <c r="F14" s="48">
        <v>0.22</v>
      </c>
    </row>
    <row r="15" spans="1:6" s="4" customFormat="1" ht="21">
      <c r="A15" s="71" t="s">
        <v>68</v>
      </c>
      <c r="B15" s="1">
        <v>45000</v>
      </c>
      <c r="D15" s="1" t="s">
        <v>0</v>
      </c>
      <c r="E15" s="1" t="s">
        <v>0</v>
      </c>
      <c r="F15" s="49" t="s">
        <v>0</v>
      </c>
    </row>
    <row r="16" spans="1:6" s="4" customFormat="1" ht="21">
      <c r="A16" s="71" t="s">
        <v>67</v>
      </c>
      <c r="B16" s="1">
        <v>54000</v>
      </c>
      <c r="C16" s="1"/>
      <c r="D16" s="1"/>
      <c r="E16" s="1"/>
      <c r="F16" s="49"/>
    </row>
    <row r="17" spans="1:6" s="4" customFormat="1" ht="21">
      <c r="A17" s="71" t="s">
        <v>66</v>
      </c>
      <c r="B17" s="1">
        <v>106000</v>
      </c>
      <c r="C17" s="1"/>
      <c r="D17" s="1"/>
      <c r="E17" s="1"/>
      <c r="F17" s="49"/>
    </row>
    <row r="18" spans="1:6" s="4" customFormat="1" ht="21">
      <c r="A18" s="71" t="s">
        <v>69</v>
      </c>
      <c r="B18" s="1">
        <f>B16+B17</f>
        <v>160000</v>
      </c>
      <c r="C18" s="1"/>
      <c r="D18" s="1"/>
      <c r="E18" s="1"/>
      <c r="F18" s="49"/>
    </row>
    <row r="19" spans="1:6" s="4" customFormat="1" ht="21">
      <c r="A19" s="71" t="s">
        <v>124</v>
      </c>
      <c r="B19" s="24">
        <v>11.881089477575308</v>
      </c>
      <c r="C19" s="1"/>
      <c r="D19" s="1"/>
      <c r="E19" s="1"/>
      <c r="F19" s="49"/>
    </row>
    <row r="20" spans="1:6" s="4" customFormat="1" ht="21">
      <c r="A20" s="71" t="s">
        <v>70</v>
      </c>
      <c r="B20" s="1">
        <f>B19*B15</f>
        <v>534649.0264908889</v>
      </c>
      <c r="C20" s="1"/>
      <c r="D20" s="1"/>
      <c r="E20" s="1"/>
      <c r="F20" s="49"/>
    </row>
    <row r="21" spans="1:6" s="4" customFormat="1" ht="21">
      <c r="A21" s="71" t="s">
        <v>99</v>
      </c>
      <c r="B21" s="1">
        <f>SUM(C21:F21)</f>
        <v>0</v>
      </c>
      <c r="C21" s="1">
        <v>0</v>
      </c>
      <c r="D21" s="1">
        <v>0</v>
      </c>
      <c r="E21" s="1">
        <v>0</v>
      </c>
      <c r="F21" s="49">
        <v>0</v>
      </c>
    </row>
    <row r="22" spans="1:6" s="4" customFormat="1" ht="21">
      <c r="A22" s="71" t="s">
        <v>104</v>
      </c>
      <c r="B22" s="1">
        <f>SUM(C22:F22)</f>
        <v>35000</v>
      </c>
      <c r="C22" s="1">
        <v>35000</v>
      </c>
      <c r="D22" s="1">
        <v>0</v>
      </c>
      <c r="E22" s="1">
        <v>0</v>
      </c>
      <c r="F22" s="49">
        <v>0</v>
      </c>
    </row>
    <row r="23" spans="1:6" s="4" customFormat="1" ht="21">
      <c r="A23" s="71"/>
      <c r="B23" s="1"/>
      <c r="C23" s="1"/>
      <c r="D23" s="1"/>
      <c r="E23" s="1"/>
      <c r="F23" s="49"/>
    </row>
    <row r="24" spans="1:6" s="19" customFormat="1" ht="21">
      <c r="A24" s="71" t="s">
        <v>92</v>
      </c>
      <c r="B24" s="20">
        <f>SUM(C24:F24)</f>
        <v>1</v>
      </c>
      <c r="C24" s="16">
        <v>0.15</v>
      </c>
      <c r="D24" s="41">
        <v>0.2</v>
      </c>
      <c r="E24" s="41">
        <v>0.25</v>
      </c>
      <c r="F24" s="48">
        <v>0.4</v>
      </c>
    </row>
    <row r="25" spans="1:6" s="19" customFormat="1" ht="21">
      <c r="A25" s="71" t="s">
        <v>141</v>
      </c>
      <c r="B25" s="20">
        <f>SUM(C25:F25)</f>
        <v>1</v>
      </c>
      <c r="C25" s="16">
        <f>C170</f>
        <v>0.5683059651770633</v>
      </c>
      <c r="D25" s="16">
        <f>D170</f>
        <v>0.21595733431739395</v>
      </c>
      <c r="E25" s="16">
        <f>E170</f>
        <v>0.16733156074027586</v>
      </c>
      <c r="F25" s="48">
        <f>F170</f>
        <v>0.04840513976526683</v>
      </c>
    </row>
    <row r="26" spans="1:6" s="4" customFormat="1" ht="21">
      <c r="A26" s="71" t="s">
        <v>151</v>
      </c>
      <c r="B26" s="24">
        <v>8.7</v>
      </c>
      <c r="C26" s="24">
        <f>(1+C13)*B26</f>
        <v>10.091999999999999</v>
      </c>
      <c r="D26" s="24">
        <f>(1+D13)*C26</f>
        <v>11.706719999999997</v>
      </c>
      <c r="E26" s="24">
        <f>(1+E13)*D26</f>
        <v>13.579795199999996</v>
      </c>
      <c r="F26" s="50">
        <f>(1+F13)*E26</f>
        <v>15.752562431999994</v>
      </c>
    </row>
    <row r="27" spans="1:6" s="4" customFormat="1" ht="21">
      <c r="A27" s="71" t="s">
        <v>143</v>
      </c>
      <c r="B27" s="2">
        <f>SUM(C27:F27)</f>
        <v>160000</v>
      </c>
      <c r="C27" s="1">
        <f>C24*$B$18</f>
        <v>24000</v>
      </c>
      <c r="D27" s="1">
        <f>D24*$B$18</f>
        <v>32000</v>
      </c>
      <c r="E27" s="1">
        <f>E24*$B$18</f>
        <v>40000</v>
      </c>
      <c r="F27" s="49">
        <f>F24*$B$18</f>
        <v>64000</v>
      </c>
    </row>
    <row r="28" spans="1:6" s="4" customFormat="1" ht="21">
      <c r="A28" s="71" t="s">
        <v>144</v>
      </c>
      <c r="B28" s="2">
        <f>SUM(C28:F28)</f>
        <v>2168178.843647999</v>
      </c>
      <c r="C28" s="1">
        <f>C27*C26</f>
        <v>242207.99999999997</v>
      </c>
      <c r="D28" s="1">
        <f>D27*D26</f>
        <v>374615.0399999999</v>
      </c>
      <c r="E28" s="1">
        <f>E27*E26</f>
        <v>543191.8079999998</v>
      </c>
      <c r="F28" s="49">
        <f>F27*F26</f>
        <v>1008163.9956479996</v>
      </c>
    </row>
    <row r="29" spans="1:6" s="4" customFormat="1" ht="21">
      <c r="A29" s="71"/>
      <c r="B29" s="2"/>
      <c r="C29" s="1"/>
      <c r="D29" s="1"/>
      <c r="E29" s="1"/>
      <c r="F29" s="49"/>
    </row>
    <row r="30" spans="1:6" s="4" customFormat="1" ht="21">
      <c r="A30" s="64" t="s">
        <v>148</v>
      </c>
      <c r="B30" s="2"/>
      <c r="C30" s="1"/>
      <c r="D30" s="1"/>
      <c r="E30" s="1"/>
      <c r="F30" s="49"/>
    </row>
    <row r="31" spans="1:6" s="19" customFormat="1" ht="21">
      <c r="A31" s="71" t="s">
        <v>142</v>
      </c>
      <c r="B31" s="2">
        <f>SUM(C31:F31)</f>
        <v>242207.99999999994</v>
      </c>
      <c r="C31" s="1">
        <f>$C$28*C25</f>
        <v>137648.25121360613</v>
      </c>
      <c r="D31" s="1">
        <f>$C$28*D25</f>
        <v>52306.59403034735</v>
      </c>
      <c r="E31" s="1">
        <f>$C$28*E25</f>
        <v>40529.04266378073</v>
      </c>
      <c r="F31" s="49">
        <f>$C$28*F25</f>
        <v>11724.112092265746</v>
      </c>
    </row>
    <row r="32" spans="1:6" s="19" customFormat="1" ht="21">
      <c r="A32" s="71" t="s">
        <v>145</v>
      </c>
      <c r="B32" s="2">
        <f>SUM(C32:F32)</f>
        <v>374615.0399999999</v>
      </c>
      <c r="C32" s="1">
        <v>0</v>
      </c>
      <c r="D32" s="1">
        <f>$D$28*(D25+C25)</f>
        <v>293796.82731064805</v>
      </c>
      <c r="E32" s="1">
        <f>$D$28*E25</f>
        <v>62684.91931998086</v>
      </c>
      <c r="F32" s="49">
        <f>$D$28*F25</f>
        <v>18133.29336937102</v>
      </c>
    </row>
    <row r="33" spans="1:6" s="19" customFormat="1" ht="21">
      <c r="A33" s="71" t="s">
        <v>146</v>
      </c>
      <c r="B33" s="2">
        <f>SUM(C33:F33)</f>
        <v>543191.8079999998</v>
      </c>
      <c r="C33" s="1">
        <v>0</v>
      </c>
      <c r="D33" s="1">
        <v>0</v>
      </c>
      <c r="E33" s="1">
        <f>$E$28*(E25+D25+C25)</f>
        <v>516898.53261441184</v>
      </c>
      <c r="F33" s="49">
        <f>$E$28*F25</f>
        <v>26293.27538558798</v>
      </c>
    </row>
    <row r="34" spans="1:6" s="19" customFormat="1" ht="21">
      <c r="A34" s="71" t="s">
        <v>147</v>
      </c>
      <c r="B34" s="2">
        <f>SUM(C34:F34)</f>
        <v>1008163.9956479996</v>
      </c>
      <c r="C34" s="1">
        <v>0</v>
      </c>
      <c r="D34" s="1">
        <v>0</v>
      </c>
      <c r="E34" s="1"/>
      <c r="F34" s="49">
        <f>$F$28*(F25+E25+D25+C25)</f>
        <v>1008163.9956479996</v>
      </c>
    </row>
    <row r="35" spans="1:6" s="19" customFormat="1" ht="21">
      <c r="A35" s="71"/>
      <c r="B35" s="2">
        <f>SUM(C35:F35)</f>
        <v>2168178.843647999</v>
      </c>
      <c r="C35" s="2">
        <f>SUM(C31:C34)</f>
        <v>137648.25121360613</v>
      </c>
      <c r="D35" s="2">
        <f>SUM(D31:D34)</f>
        <v>346103.4213409954</v>
      </c>
      <c r="E35" s="2">
        <f>SUM(E31:E34)</f>
        <v>620112.4945981734</v>
      </c>
      <c r="F35" s="51">
        <f>SUM(F31:F34)</f>
        <v>1064314.6764952242</v>
      </c>
    </row>
    <row r="36" spans="1:6" s="19" customFormat="1" ht="21">
      <c r="A36" s="71"/>
      <c r="B36" s="2"/>
      <c r="C36" s="2"/>
      <c r="D36" s="2"/>
      <c r="E36" s="2"/>
      <c r="F36" s="51"/>
    </row>
    <row r="37" spans="1:6" s="4" customFormat="1" ht="21">
      <c r="A37" s="64" t="s">
        <v>149</v>
      </c>
      <c r="B37" s="2"/>
      <c r="C37" s="1"/>
      <c r="D37" s="1"/>
      <c r="E37" s="1"/>
      <c r="F37" s="49"/>
    </row>
    <row r="38" spans="1:6" s="19" customFormat="1" ht="21">
      <c r="A38" s="71" t="s">
        <v>142</v>
      </c>
      <c r="B38" s="20">
        <f>SUM(C38:F38)</f>
        <v>0.11171034193493037</v>
      </c>
      <c r="C38" s="16">
        <f aca="true" t="shared" si="0" ref="C38:F42">C31/$B$35</f>
        <v>0.06348565369359038</v>
      </c>
      <c r="D38" s="16">
        <f t="shared" si="0"/>
        <v>0.024124667659952154</v>
      </c>
      <c r="E38" s="16">
        <f t="shared" si="0"/>
        <v>0.01869266586680179</v>
      </c>
      <c r="F38" s="48">
        <f t="shared" si="0"/>
        <v>0.005407354714586053</v>
      </c>
    </row>
    <row r="39" spans="1:6" s="19" customFormat="1" ht="21">
      <c r="A39" s="71" t="s">
        <v>145</v>
      </c>
      <c r="B39" s="20">
        <f>SUM(C39:F39)</f>
        <v>0.17277866219269233</v>
      </c>
      <c r="C39" s="16">
        <f t="shared" si="0"/>
        <v>0</v>
      </c>
      <c r="D39" s="16">
        <f t="shared" si="0"/>
        <v>0.13550396369347914</v>
      </c>
      <c r="E39" s="16">
        <f t="shared" si="0"/>
        <v>0.0289113232073201</v>
      </c>
      <c r="F39" s="48">
        <f t="shared" si="0"/>
        <v>0.008363375291893094</v>
      </c>
    </row>
    <row r="40" spans="1:6" s="19" customFormat="1" ht="21">
      <c r="A40" s="71" t="s">
        <v>146</v>
      </c>
      <c r="B40" s="20">
        <f>SUM(C40:F40)</f>
        <v>0.25052906017940385</v>
      </c>
      <c r="C40" s="16">
        <f t="shared" si="0"/>
        <v>0</v>
      </c>
      <c r="D40" s="16">
        <f t="shared" si="0"/>
        <v>0</v>
      </c>
      <c r="E40" s="16">
        <f t="shared" si="0"/>
        <v>0.23840216600615885</v>
      </c>
      <c r="F40" s="48">
        <f t="shared" si="0"/>
        <v>0.012126894173244989</v>
      </c>
    </row>
    <row r="41" spans="1:6" s="19" customFormat="1" ht="21">
      <c r="A41" s="71" t="s">
        <v>147</v>
      </c>
      <c r="B41" s="20">
        <f>SUM(C41:F41)</f>
        <v>0.46498193569297347</v>
      </c>
      <c r="C41" s="16">
        <f t="shared" si="0"/>
        <v>0</v>
      </c>
      <c r="D41" s="16">
        <f t="shared" si="0"/>
        <v>0</v>
      </c>
      <c r="E41" s="16">
        <f t="shared" si="0"/>
        <v>0</v>
      </c>
      <c r="F41" s="48">
        <f t="shared" si="0"/>
        <v>0.46498193569297347</v>
      </c>
    </row>
    <row r="42" spans="1:6" s="19" customFormat="1" ht="21">
      <c r="A42" s="72"/>
      <c r="B42" s="20">
        <f>SUM(C42:F42)</f>
        <v>1</v>
      </c>
      <c r="C42" s="20">
        <f t="shared" si="0"/>
        <v>0.06348565369359038</v>
      </c>
      <c r="D42" s="20">
        <f t="shared" si="0"/>
        <v>0.15962863135343128</v>
      </c>
      <c r="E42" s="20">
        <f t="shared" si="0"/>
        <v>0.2860061550802807</v>
      </c>
      <c r="F42" s="52">
        <f t="shared" si="0"/>
        <v>0.4908795598726976</v>
      </c>
    </row>
    <row r="43" spans="1:6" s="4" customFormat="1" ht="21">
      <c r="A43" s="64" t="s">
        <v>150</v>
      </c>
      <c r="B43" s="2"/>
      <c r="C43" s="1"/>
      <c r="D43" s="1"/>
      <c r="E43" s="1"/>
      <c r="F43" s="49"/>
    </row>
    <row r="44" spans="1:6" s="19" customFormat="1" ht="21">
      <c r="A44" s="71" t="s">
        <v>142</v>
      </c>
      <c r="B44" s="20">
        <f>SUM(C44:F44)</f>
        <v>1</v>
      </c>
      <c r="C44" s="16">
        <f aca="true" t="shared" si="1" ref="C44:F47">C31/$B31</f>
        <v>0.5683059651770633</v>
      </c>
      <c r="D44" s="16">
        <f t="shared" si="1"/>
        <v>0.21595733431739397</v>
      </c>
      <c r="E44" s="16">
        <f t="shared" si="1"/>
        <v>0.1673315607402759</v>
      </c>
      <c r="F44" s="48">
        <f t="shared" si="1"/>
        <v>0.048405139765266836</v>
      </c>
    </row>
    <row r="45" spans="1:6" s="19" customFormat="1" ht="21">
      <c r="A45" s="71" t="s">
        <v>145</v>
      </c>
      <c r="B45" s="20">
        <f>SUM(C45:F45)</f>
        <v>1</v>
      </c>
      <c r="C45" s="16">
        <f t="shared" si="1"/>
        <v>0</v>
      </c>
      <c r="D45" s="16">
        <f t="shared" si="1"/>
        <v>0.7842632994944573</v>
      </c>
      <c r="E45" s="16">
        <f t="shared" si="1"/>
        <v>0.16733156074027586</v>
      </c>
      <c r="F45" s="48">
        <f t="shared" si="1"/>
        <v>0.04840513976526682</v>
      </c>
    </row>
    <row r="46" spans="1:6" s="19" customFormat="1" ht="21">
      <c r="A46" s="71" t="s">
        <v>146</v>
      </c>
      <c r="B46" s="20">
        <f>SUM(C46:F46)</f>
        <v>1</v>
      </c>
      <c r="C46" s="16">
        <f t="shared" si="1"/>
        <v>0</v>
      </c>
      <c r="D46" s="16">
        <f t="shared" si="1"/>
        <v>0</v>
      </c>
      <c r="E46" s="16">
        <f t="shared" si="1"/>
        <v>0.9515948602347332</v>
      </c>
      <c r="F46" s="48">
        <f t="shared" si="1"/>
        <v>0.04840513976526683</v>
      </c>
    </row>
    <row r="47" spans="1:6" s="19" customFormat="1" ht="21">
      <c r="A47" s="71" t="s">
        <v>147</v>
      </c>
      <c r="B47" s="20">
        <f>SUM(C47:F47)</f>
        <v>1</v>
      </c>
      <c r="C47" s="16">
        <f t="shared" si="1"/>
        <v>0</v>
      </c>
      <c r="D47" s="16">
        <f t="shared" si="1"/>
        <v>0</v>
      </c>
      <c r="E47" s="16">
        <f t="shared" si="1"/>
        <v>0</v>
      </c>
      <c r="F47" s="48">
        <f t="shared" si="1"/>
        <v>1</v>
      </c>
    </row>
    <row r="48" spans="1:6" s="19" customFormat="1" ht="21">
      <c r="A48" s="72" t="s">
        <v>27</v>
      </c>
      <c r="B48" s="20">
        <f>SUM(C48:F48)</f>
        <v>2.144573714733943E-07</v>
      </c>
      <c r="C48" s="20">
        <f>C41/$B$35</f>
        <v>0</v>
      </c>
      <c r="D48" s="20">
        <f>D41/$B$35</f>
        <v>0</v>
      </c>
      <c r="E48" s="20">
        <f>E41/$B$35</f>
        <v>0</v>
      </c>
      <c r="F48" s="52">
        <f>F41/$B$35</f>
        <v>2.144573714733943E-07</v>
      </c>
    </row>
    <row r="49" spans="1:6" s="19" customFormat="1" ht="21">
      <c r="A49" s="72"/>
      <c r="B49" s="20"/>
      <c r="C49" s="20"/>
      <c r="D49" s="20"/>
      <c r="E49" s="20"/>
      <c r="F49" s="52"/>
    </row>
    <row r="50" spans="1:6" s="18" customFormat="1" ht="21">
      <c r="A50" s="65" t="s">
        <v>109</v>
      </c>
      <c r="B50" s="1"/>
      <c r="C50" s="20"/>
      <c r="D50" s="20"/>
      <c r="E50" s="20"/>
      <c r="F50" s="52"/>
    </row>
    <row r="51" spans="1:6" s="4" customFormat="1" ht="21">
      <c r="A51" s="71" t="s">
        <v>140</v>
      </c>
      <c r="B51" s="24">
        <f>B125/B18</f>
        <v>5.2232486264</v>
      </c>
      <c r="C51" s="1"/>
      <c r="D51" s="1"/>
      <c r="E51" s="1"/>
      <c r="F51" s="49"/>
    </row>
    <row r="52" spans="1:6" s="4" customFormat="1" ht="21">
      <c r="A52" s="71" t="s">
        <v>105</v>
      </c>
      <c r="B52" s="24">
        <f>B20/B18</f>
        <v>3.3415564155680557</v>
      </c>
      <c r="C52" s="1"/>
      <c r="D52" s="1"/>
      <c r="E52" s="1"/>
      <c r="F52" s="49"/>
    </row>
    <row r="53" spans="1:6" s="4" customFormat="1" ht="42">
      <c r="A53" s="73" t="s">
        <v>107</v>
      </c>
      <c r="B53" s="24">
        <f>(B160+B161+B159)/B18</f>
        <v>0.365627403848</v>
      </c>
      <c r="C53" s="1"/>
      <c r="D53" s="1"/>
      <c r="E53" s="1"/>
      <c r="F53" s="49"/>
    </row>
    <row r="54" spans="1:6" s="4" customFormat="1" ht="21">
      <c r="A54" s="73" t="s">
        <v>126</v>
      </c>
      <c r="B54" s="24">
        <f>B199/B18</f>
        <v>0</v>
      </c>
      <c r="C54" s="1"/>
      <c r="D54" s="1"/>
      <c r="E54" s="1"/>
      <c r="F54" s="49"/>
    </row>
    <row r="55" spans="1:6" s="18" customFormat="1" ht="21">
      <c r="A55" s="74" t="s">
        <v>108</v>
      </c>
      <c r="B55" s="46">
        <f>B51+B52+B53+B54</f>
        <v>8.930432445816056</v>
      </c>
      <c r="C55" s="2"/>
      <c r="D55" s="2"/>
      <c r="E55" s="2"/>
      <c r="F55" s="51"/>
    </row>
    <row r="56" spans="1:6" s="4" customFormat="1" ht="21">
      <c r="A56" s="71"/>
      <c r="B56" s="1"/>
      <c r="C56" s="1"/>
      <c r="D56" s="1"/>
      <c r="E56" s="1"/>
      <c r="F56" s="49"/>
    </row>
    <row r="57" spans="1:6" s="4" customFormat="1" ht="21">
      <c r="A57" s="71" t="s">
        <v>106</v>
      </c>
      <c r="B57" s="24">
        <f>B173/B18</f>
        <v>13.551117772799994</v>
      </c>
      <c r="C57" s="1"/>
      <c r="D57" s="1"/>
      <c r="E57" s="1"/>
      <c r="F57" s="49"/>
    </row>
    <row r="58" spans="1:6" s="4" customFormat="1" ht="21">
      <c r="A58" s="71" t="s">
        <v>132</v>
      </c>
      <c r="B58" s="24">
        <f>B57-B55</f>
        <v>4.6206853269839385</v>
      </c>
      <c r="C58" s="1"/>
      <c r="D58" s="1"/>
      <c r="E58" s="1"/>
      <c r="F58" s="49"/>
    </row>
    <row r="59" spans="1:6" s="4" customFormat="1" ht="21">
      <c r="A59" s="71" t="s">
        <v>133</v>
      </c>
      <c r="B59" s="16">
        <f>B58/B55</f>
        <v>0.5174089110487308</v>
      </c>
      <c r="C59" s="1"/>
      <c r="D59" s="1"/>
      <c r="E59" s="1"/>
      <c r="F59" s="49"/>
    </row>
    <row r="60" spans="1:6" s="4" customFormat="1" ht="21">
      <c r="A60" s="71"/>
      <c r="B60" s="1"/>
      <c r="C60" s="1"/>
      <c r="D60" s="1"/>
      <c r="E60" s="1"/>
      <c r="F60" s="49"/>
    </row>
    <row r="61" spans="1:6" s="4" customFormat="1" ht="21">
      <c r="A61" s="65" t="s">
        <v>134</v>
      </c>
      <c r="B61" s="3" t="s">
        <v>27</v>
      </c>
      <c r="C61" s="2"/>
      <c r="D61" s="2"/>
      <c r="E61" s="2"/>
      <c r="F61" s="51"/>
    </row>
    <row r="62" spans="1:6" s="4" customFormat="1" ht="21">
      <c r="A62" s="71" t="s">
        <v>129</v>
      </c>
      <c r="B62" s="2">
        <f aca="true" t="shared" si="2" ref="B62:B81">SUM(C62:F62)</f>
        <v>2600</v>
      </c>
      <c r="C62" s="1">
        <v>2600</v>
      </c>
      <c r="D62" s="1">
        <v>0</v>
      </c>
      <c r="E62" s="1">
        <v>0</v>
      </c>
      <c r="F62" s="49">
        <v>0</v>
      </c>
    </row>
    <row r="63" spans="1:6" s="4" customFormat="1" ht="21">
      <c r="A63" s="71" t="s">
        <v>71</v>
      </c>
      <c r="B63" s="2">
        <f t="shared" si="2"/>
        <v>16000</v>
      </c>
      <c r="C63" s="1">
        <v>16000</v>
      </c>
      <c r="D63" s="1">
        <v>0</v>
      </c>
      <c r="E63" s="1">
        <v>0</v>
      </c>
      <c r="F63" s="49">
        <v>0</v>
      </c>
    </row>
    <row r="64" spans="1:6" s="4" customFormat="1" ht="21">
      <c r="A64" s="71" t="s">
        <v>72</v>
      </c>
      <c r="B64" s="2">
        <f t="shared" si="2"/>
        <v>108000</v>
      </c>
      <c r="C64" s="1">
        <v>99600</v>
      </c>
      <c r="D64" s="1">
        <v>8400</v>
      </c>
      <c r="E64" s="1">
        <v>0</v>
      </c>
      <c r="F64" s="49">
        <v>0</v>
      </c>
    </row>
    <row r="65" spans="1:6" s="4" customFormat="1" ht="21">
      <c r="A65" s="71" t="s">
        <v>73</v>
      </c>
      <c r="B65" s="2">
        <f t="shared" si="2"/>
        <v>30000</v>
      </c>
      <c r="C65" s="1">
        <v>22500</v>
      </c>
      <c r="D65" s="1">
        <v>7500</v>
      </c>
      <c r="E65" s="1">
        <v>0</v>
      </c>
      <c r="F65" s="49">
        <v>0</v>
      </c>
    </row>
    <row r="66" spans="1:6" s="4" customFormat="1" ht="21">
      <c r="A66" s="71" t="s">
        <v>74</v>
      </c>
      <c r="B66" s="2">
        <f t="shared" si="2"/>
        <v>7600</v>
      </c>
      <c r="C66" s="1">
        <v>4750</v>
      </c>
      <c r="D66" s="1">
        <v>2850</v>
      </c>
      <c r="E66" s="1">
        <v>0</v>
      </c>
      <c r="F66" s="49">
        <v>0</v>
      </c>
    </row>
    <row r="67" spans="1:6" s="4" customFormat="1" ht="21">
      <c r="A67" s="71" t="s">
        <v>76</v>
      </c>
      <c r="B67" s="2">
        <f t="shared" si="2"/>
        <v>41000</v>
      </c>
      <c r="C67" s="1">
        <v>20500</v>
      </c>
      <c r="D67" s="1">
        <v>20500</v>
      </c>
      <c r="E67" s="1">
        <v>0</v>
      </c>
      <c r="F67" s="49">
        <v>0</v>
      </c>
    </row>
    <row r="68" spans="1:6" s="4" customFormat="1" ht="21">
      <c r="A68" s="71" t="s">
        <v>75</v>
      </c>
      <c r="B68" s="2">
        <f t="shared" si="2"/>
        <v>42000</v>
      </c>
      <c r="C68" s="1">
        <v>8400</v>
      </c>
      <c r="D68" s="1">
        <v>31500</v>
      </c>
      <c r="E68" s="1">
        <v>2100</v>
      </c>
      <c r="F68" s="49">
        <v>0</v>
      </c>
    </row>
    <row r="69" spans="1:6" s="4" customFormat="1" ht="21">
      <c r="A69" s="71" t="s">
        <v>77</v>
      </c>
      <c r="B69" s="2">
        <f t="shared" si="2"/>
        <v>50000</v>
      </c>
      <c r="C69" s="1">
        <v>0</v>
      </c>
      <c r="D69" s="1">
        <v>39600</v>
      </c>
      <c r="E69" s="1">
        <v>10400</v>
      </c>
      <c r="F69" s="49">
        <v>0</v>
      </c>
    </row>
    <row r="70" spans="1:6" s="4" customFormat="1" ht="21">
      <c r="A70" s="71" t="s">
        <v>78</v>
      </c>
      <c r="B70" s="2">
        <f t="shared" si="2"/>
        <v>11000</v>
      </c>
      <c r="C70" s="1">
        <v>0</v>
      </c>
      <c r="D70" s="1">
        <v>4900</v>
      </c>
      <c r="E70" s="1">
        <v>6100</v>
      </c>
      <c r="F70" s="49">
        <v>0</v>
      </c>
    </row>
    <row r="71" spans="1:6" s="4" customFormat="1" ht="21">
      <c r="A71" s="71" t="s">
        <v>79</v>
      </c>
      <c r="B71" s="2">
        <f t="shared" si="2"/>
        <v>5000</v>
      </c>
      <c r="C71" s="1">
        <v>0</v>
      </c>
      <c r="D71" s="1">
        <v>0</v>
      </c>
      <c r="E71" s="1">
        <v>3300</v>
      </c>
      <c r="F71" s="49">
        <v>1700</v>
      </c>
    </row>
    <row r="72" spans="1:6" s="4" customFormat="1" ht="21">
      <c r="A72" s="71" t="s">
        <v>89</v>
      </c>
      <c r="B72" s="2">
        <f t="shared" si="2"/>
        <v>53000</v>
      </c>
      <c r="C72" s="1">
        <v>10600</v>
      </c>
      <c r="D72" s="1">
        <v>19600</v>
      </c>
      <c r="E72" s="1">
        <v>22800</v>
      </c>
      <c r="F72" s="49">
        <v>0</v>
      </c>
    </row>
    <row r="73" spans="1:6" s="4" customFormat="1" ht="21">
      <c r="A73" s="71" t="s">
        <v>80</v>
      </c>
      <c r="B73" s="2">
        <f t="shared" si="2"/>
        <v>18000</v>
      </c>
      <c r="C73" s="1">
        <v>0</v>
      </c>
      <c r="D73" s="1">
        <v>0</v>
      </c>
      <c r="E73" s="1">
        <v>13500</v>
      </c>
      <c r="F73" s="49">
        <v>4500</v>
      </c>
    </row>
    <row r="74" spans="1:6" s="4" customFormat="1" ht="21">
      <c r="A74" s="71" t="s">
        <v>81</v>
      </c>
      <c r="B74" s="2">
        <f t="shared" si="2"/>
        <v>13000</v>
      </c>
      <c r="C74" s="1">
        <v>0</v>
      </c>
      <c r="D74" s="1">
        <v>3250</v>
      </c>
      <c r="E74" s="1">
        <v>9750</v>
      </c>
      <c r="F74" s="49">
        <v>0</v>
      </c>
    </row>
    <row r="75" spans="1:6" s="4" customFormat="1" ht="21">
      <c r="A75" s="71" t="s">
        <v>82</v>
      </c>
      <c r="B75" s="2">
        <f t="shared" si="2"/>
        <v>35000</v>
      </c>
      <c r="C75" s="1">
        <v>0</v>
      </c>
      <c r="D75" s="1">
        <v>8750</v>
      </c>
      <c r="E75" s="1">
        <v>21000</v>
      </c>
      <c r="F75" s="49">
        <v>5250</v>
      </c>
    </row>
    <row r="76" spans="1:6" s="4" customFormat="1" ht="21">
      <c r="A76" s="71" t="s">
        <v>83</v>
      </c>
      <c r="B76" s="2">
        <f t="shared" si="2"/>
        <v>76000</v>
      </c>
      <c r="C76" s="1">
        <v>0</v>
      </c>
      <c r="D76" s="1">
        <v>30400</v>
      </c>
      <c r="E76" s="1">
        <v>28500</v>
      </c>
      <c r="F76" s="49">
        <v>17100</v>
      </c>
    </row>
    <row r="77" spans="1:6" s="4" customFormat="1" ht="21">
      <c r="A77" s="71" t="s">
        <v>84</v>
      </c>
      <c r="B77" s="2">
        <f t="shared" si="2"/>
        <v>10000</v>
      </c>
      <c r="C77" s="1">
        <v>2850</v>
      </c>
      <c r="D77" s="1">
        <v>2850</v>
      </c>
      <c r="E77" s="1">
        <v>2850</v>
      </c>
      <c r="F77" s="49">
        <v>1450</v>
      </c>
    </row>
    <row r="78" spans="1:6" s="4" customFormat="1" ht="21">
      <c r="A78" s="72" t="s">
        <v>110</v>
      </c>
      <c r="B78" s="2">
        <f t="shared" si="2"/>
        <v>518200</v>
      </c>
      <c r="C78" s="2">
        <f>SUM(C62:C77)</f>
        <v>187800</v>
      </c>
      <c r="D78" s="2">
        <f>SUM(D62:D77)</f>
        <v>180100</v>
      </c>
      <c r="E78" s="2">
        <f>SUM(E62:E77)</f>
        <v>120300</v>
      </c>
      <c r="F78" s="51">
        <f>SUM(F62:F77)</f>
        <v>30000</v>
      </c>
    </row>
    <row r="79" spans="1:6" s="4" customFormat="1" ht="21">
      <c r="A79" s="71" t="s">
        <v>85</v>
      </c>
      <c r="B79" s="2">
        <f t="shared" si="2"/>
        <v>20728</v>
      </c>
      <c r="C79" s="1">
        <f>0.04*C78</f>
        <v>7512</v>
      </c>
      <c r="D79" s="1">
        <f>0.04*D78</f>
        <v>7204</v>
      </c>
      <c r="E79" s="1">
        <f>0.04*E78</f>
        <v>4812</v>
      </c>
      <c r="F79" s="49">
        <f>0.04*F78</f>
        <v>1200</v>
      </c>
    </row>
    <row r="80" spans="1:6" s="4" customFormat="1" ht="21">
      <c r="A80" s="71" t="s">
        <v>86</v>
      </c>
      <c r="B80" s="2">
        <f t="shared" si="2"/>
        <v>77730</v>
      </c>
      <c r="C80" s="1">
        <f>0.15*C78</f>
        <v>28170</v>
      </c>
      <c r="D80" s="1">
        <f>0.15*D78</f>
        <v>27015</v>
      </c>
      <c r="E80" s="1">
        <f>0.15*E78</f>
        <v>18045</v>
      </c>
      <c r="F80" s="49">
        <f>0.15*F78</f>
        <v>4500</v>
      </c>
    </row>
    <row r="81" spans="1:6" s="4" customFormat="1" ht="21">
      <c r="A81" s="72" t="s">
        <v>88</v>
      </c>
      <c r="B81" s="2">
        <f t="shared" si="2"/>
        <v>616658</v>
      </c>
      <c r="C81" s="2">
        <f>SUM(C78:C80)</f>
        <v>223482</v>
      </c>
      <c r="D81" s="2">
        <f>SUM(D78:D80)</f>
        <v>214319</v>
      </c>
      <c r="E81" s="2">
        <f>SUM(E78:E80)</f>
        <v>143157</v>
      </c>
      <c r="F81" s="51">
        <f>SUM(F78:F80)</f>
        <v>35700</v>
      </c>
    </row>
    <row r="82" spans="1:6" s="4" customFormat="1" ht="21">
      <c r="A82" s="71"/>
      <c r="B82" s="1"/>
      <c r="C82" s="1"/>
      <c r="D82" s="1"/>
      <c r="E82" s="1"/>
      <c r="F82" s="49"/>
    </row>
    <row r="83" spans="1:6" s="4" customFormat="1" ht="21">
      <c r="A83" s="65" t="s">
        <v>135</v>
      </c>
      <c r="B83" s="3" t="s">
        <v>27</v>
      </c>
      <c r="C83" s="2"/>
      <c r="D83" s="2"/>
      <c r="E83" s="2"/>
      <c r="F83" s="51"/>
    </row>
    <row r="84" spans="1:6" s="4" customFormat="1" ht="21">
      <c r="A84" s="71" t="s">
        <v>129</v>
      </c>
      <c r="B84" s="20">
        <f aca="true" t="shared" si="3" ref="B84:B103">SUM(C84:F84)</f>
        <v>0.004216275471979606</v>
      </c>
      <c r="C84" s="16">
        <f aca="true" t="shared" si="4" ref="C84:F103">C62/$B$81</f>
        <v>0.004216275471979606</v>
      </c>
      <c r="D84" s="16">
        <f t="shared" si="4"/>
        <v>0</v>
      </c>
      <c r="E84" s="16">
        <f t="shared" si="4"/>
        <v>0</v>
      </c>
      <c r="F84" s="48">
        <f t="shared" si="4"/>
        <v>0</v>
      </c>
    </row>
    <row r="85" spans="1:6" s="4" customFormat="1" ht="21">
      <c r="A85" s="71" t="s">
        <v>71</v>
      </c>
      <c r="B85" s="20">
        <f t="shared" si="3"/>
        <v>0.025946310596797577</v>
      </c>
      <c r="C85" s="16">
        <f t="shared" si="4"/>
        <v>0.025946310596797577</v>
      </c>
      <c r="D85" s="16">
        <f t="shared" si="4"/>
        <v>0</v>
      </c>
      <c r="E85" s="16">
        <f t="shared" si="4"/>
        <v>0</v>
      </c>
      <c r="F85" s="48">
        <f t="shared" si="4"/>
        <v>0</v>
      </c>
    </row>
    <row r="86" spans="1:6" s="4" customFormat="1" ht="21">
      <c r="A86" s="71" t="s">
        <v>72</v>
      </c>
      <c r="B86" s="20">
        <f t="shared" si="3"/>
        <v>0.17513759652838365</v>
      </c>
      <c r="C86" s="16">
        <f t="shared" si="4"/>
        <v>0.16151578346506493</v>
      </c>
      <c r="D86" s="16">
        <f t="shared" si="4"/>
        <v>0.013621813063318727</v>
      </c>
      <c r="E86" s="16">
        <f t="shared" si="4"/>
        <v>0</v>
      </c>
      <c r="F86" s="48">
        <f t="shared" si="4"/>
        <v>0</v>
      </c>
    </row>
    <row r="87" spans="1:6" s="4" customFormat="1" ht="21">
      <c r="A87" s="71" t="s">
        <v>73</v>
      </c>
      <c r="B87" s="20">
        <f t="shared" si="3"/>
        <v>0.048649332368995456</v>
      </c>
      <c r="C87" s="16">
        <f t="shared" si="4"/>
        <v>0.03648699927674659</v>
      </c>
      <c r="D87" s="16">
        <f t="shared" si="4"/>
        <v>0.012162333092248864</v>
      </c>
      <c r="E87" s="16">
        <f t="shared" si="4"/>
        <v>0</v>
      </c>
      <c r="F87" s="48">
        <f t="shared" si="4"/>
        <v>0</v>
      </c>
    </row>
    <row r="88" spans="1:6" s="4" customFormat="1" ht="21">
      <c r="A88" s="71" t="s">
        <v>74</v>
      </c>
      <c r="B88" s="20">
        <f t="shared" si="3"/>
        <v>0.012324497533478848</v>
      </c>
      <c r="C88" s="16">
        <f t="shared" si="4"/>
        <v>0.007702810958424281</v>
      </c>
      <c r="D88" s="16">
        <f t="shared" si="4"/>
        <v>0.004621686575054568</v>
      </c>
      <c r="E88" s="16">
        <f t="shared" si="4"/>
        <v>0</v>
      </c>
      <c r="F88" s="48">
        <f t="shared" si="4"/>
        <v>0</v>
      </c>
    </row>
    <row r="89" spans="1:6" s="4" customFormat="1" ht="21">
      <c r="A89" s="71" t="s">
        <v>76</v>
      </c>
      <c r="B89" s="20">
        <f t="shared" si="3"/>
        <v>0.06648742090429378</v>
      </c>
      <c r="C89" s="16">
        <f t="shared" si="4"/>
        <v>0.03324371045214689</v>
      </c>
      <c r="D89" s="16">
        <f t="shared" si="4"/>
        <v>0.03324371045214689</v>
      </c>
      <c r="E89" s="16">
        <f t="shared" si="4"/>
        <v>0</v>
      </c>
      <c r="F89" s="48">
        <f t="shared" si="4"/>
        <v>0</v>
      </c>
    </row>
    <row r="90" spans="1:6" s="4" customFormat="1" ht="21">
      <c r="A90" s="71" t="s">
        <v>75</v>
      </c>
      <c r="B90" s="20">
        <f t="shared" si="3"/>
        <v>0.06810906531659364</v>
      </c>
      <c r="C90" s="16">
        <f t="shared" si="4"/>
        <v>0.013621813063318727</v>
      </c>
      <c r="D90" s="16">
        <f t="shared" si="4"/>
        <v>0.05108179898744523</v>
      </c>
      <c r="E90" s="16">
        <f t="shared" si="4"/>
        <v>0.0034054532658296817</v>
      </c>
      <c r="F90" s="48">
        <f t="shared" si="4"/>
        <v>0</v>
      </c>
    </row>
    <row r="91" spans="1:6" s="4" customFormat="1" ht="21">
      <c r="A91" s="71" t="s">
        <v>77</v>
      </c>
      <c r="B91" s="20">
        <f t="shared" si="3"/>
        <v>0.08108222061499243</v>
      </c>
      <c r="C91" s="16">
        <f t="shared" si="4"/>
        <v>0</v>
      </c>
      <c r="D91" s="16">
        <f t="shared" si="4"/>
        <v>0.064217118727074</v>
      </c>
      <c r="E91" s="16">
        <f t="shared" si="4"/>
        <v>0.016865101887918423</v>
      </c>
      <c r="F91" s="48">
        <f t="shared" si="4"/>
        <v>0</v>
      </c>
    </row>
    <row r="92" spans="1:6" s="4" customFormat="1" ht="21">
      <c r="A92" s="71" t="s">
        <v>78</v>
      </c>
      <c r="B92" s="20">
        <f t="shared" si="3"/>
        <v>0.017838088535298335</v>
      </c>
      <c r="C92" s="16">
        <f t="shared" si="4"/>
        <v>0</v>
      </c>
      <c r="D92" s="16">
        <f t="shared" si="4"/>
        <v>0.007946057620269257</v>
      </c>
      <c r="E92" s="16">
        <f t="shared" si="4"/>
        <v>0.009892030915029076</v>
      </c>
      <c r="F92" s="48">
        <f t="shared" si="4"/>
        <v>0</v>
      </c>
    </row>
    <row r="93" spans="1:6" s="4" customFormat="1" ht="21">
      <c r="A93" s="71" t="s">
        <v>79</v>
      </c>
      <c r="B93" s="20">
        <f t="shared" si="3"/>
        <v>0.008108222061499243</v>
      </c>
      <c r="C93" s="16">
        <f t="shared" si="4"/>
        <v>0</v>
      </c>
      <c r="D93" s="16">
        <f t="shared" si="4"/>
        <v>0</v>
      </c>
      <c r="E93" s="16">
        <f t="shared" si="4"/>
        <v>0.0053514265605895004</v>
      </c>
      <c r="F93" s="48">
        <f t="shared" si="4"/>
        <v>0.0027567955009097423</v>
      </c>
    </row>
    <row r="94" spans="1:6" s="4" customFormat="1" ht="21">
      <c r="A94" s="71" t="s">
        <v>89</v>
      </c>
      <c r="B94" s="20">
        <f t="shared" si="3"/>
        <v>0.08594715385189197</v>
      </c>
      <c r="C94" s="16">
        <f t="shared" si="4"/>
        <v>0.017189430770378395</v>
      </c>
      <c r="D94" s="16">
        <f t="shared" si="4"/>
        <v>0.03178423048107703</v>
      </c>
      <c r="E94" s="16">
        <f t="shared" si="4"/>
        <v>0.036973492600436544</v>
      </c>
      <c r="F94" s="48">
        <f t="shared" si="4"/>
        <v>0</v>
      </c>
    </row>
    <row r="95" spans="1:6" s="4" customFormat="1" ht="21">
      <c r="A95" s="71" t="s">
        <v>80</v>
      </c>
      <c r="B95" s="20">
        <f t="shared" si="3"/>
        <v>0.029189599421397275</v>
      </c>
      <c r="C95" s="16">
        <f t="shared" si="4"/>
        <v>0</v>
      </c>
      <c r="D95" s="16">
        <f t="shared" si="4"/>
        <v>0</v>
      </c>
      <c r="E95" s="16">
        <f t="shared" si="4"/>
        <v>0.021892199566047956</v>
      </c>
      <c r="F95" s="48">
        <f t="shared" si="4"/>
        <v>0.007297399855349319</v>
      </c>
    </row>
    <row r="96" spans="1:6" s="4" customFormat="1" ht="21">
      <c r="A96" s="71" t="s">
        <v>81</v>
      </c>
      <c r="B96" s="20">
        <f t="shared" si="3"/>
        <v>0.02108137735989803</v>
      </c>
      <c r="C96" s="16">
        <f t="shared" si="4"/>
        <v>0</v>
      </c>
      <c r="D96" s="16">
        <f t="shared" si="4"/>
        <v>0.0052703443399745075</v>
      </c>
      <c r="E96" s="16">
        <f t="shared" si="4"/>
        <v>0.015811033019923523</v>
      </c>
      <c r="F96" s="48">
        <f t="shared" si="4"/>
        <v>0</v>
      </c>
    </row>
    <row r="97" spans="1:6" s="4" customFormat="1" ht="21">
      <c r="A97" s="71" t="s">
        <v>82</v>
      </c>
      <c r="B97" s="20">
        <f t="shared" si="3"/>
        <v>0.0567575544304947</v>
      </c>
      <c r="C97" s="16">
        <f t="shared" si="4"/>
        <v>0</v>
      </c>
      <c r="D97" s="16">
        <f t="shared" si="4"/>
        <v>0.014189388607623674</v>
      </c>
      <c r="E97" s="16">
        <f t="shared" si="4"/>
        <v>0.03405453265829682</v>
      </c>
      <c r="F97" s="48">
        <f t="shared" si="4"/>
        <v>0.008513633164574205</v>
      </c>
    </row>
    <row r="98" spans="1:6" s="4" customFormat="1" ht="21">
      <c r="A98" s="71" t="s">
        <v>83</v>
      </c>
      <c r="B98" s="20">
        <f t="shared" si="3"/>
        <v>0.12324497533478848</v>
      </c>
      <c r="C98" s="16">
        <f t="shared" si="4"/>
        <v>0</v>
      </c>
      <c r="D98" s="16">
        <f t="shared" si="4"/>
        <v>0.04929799013391539</v>
      </c>
      <c r="E98" s="16">
        <f t="shared" si="4"/>
        <v>0.046216865750545684</v>
      </c>
      <c r="F98" s="48">
        <f t="shared" si="4"/>
        <v>0.02773011945032741</v>
      </c>
    </row>
    <row r="99" spans="1:6" s="4" customFormat="1" ht="21">
      <c r="A99" s="71" t="s">
        <v>84</v>
      </c>
      <c r="B99" s="20">
        <f t="shared" si="3"/>
        <v>0.016216444122998483</v>
      </c>
      <c r="C99" s="16">
        <f t="shared" si="4"/>
        <v>0.004621686575054568</v>
      </c>
      <c r="D99" s="16">
        <f t="shared" si="4"/>
        <v>0.004621686575054568</v>
      </c>
      <c r="E99" s="16">
        <f t="shared" si="4"/>
        <v>0.004621686575054568</v>
      </c>
      <c r="F99" s="48">
        <f t="shared" si="4"/>
        <v>0.0023513843978347805</v>
      </c>
    </row>
    <row r="100" spans="1:6" s="18" customFormat="1" ht="21">
      <c r="A100" s="72" t="s">
        <v>110</v>
      </c>
      <c r="B100" s="20">
        <f t="shared" si="3"/>
        <v>0.8403361344537815</v>
      </c>
      <c r="C100" s="20">
        <f t="shared" si="4"/>
        <v>0.30454482062991156</v>
      </c>
      <c r="D100" s="20">
        <f t="shared" si="4"/>
        <v>0.29205815865520274</v>
      </c>
      <c r="E100" s="20">
        <f t="shared" si="4"/>
        <v>0.1950838227996718</v>
      </c>
      <c r="F100" s="52">
        <f t="shared" si="4"/>
        <v>0.048649332368995456</v>
      </c>
    </row>
    <row r="101" spans="1:6" s="4" customFormat="1" ht="21">
      <c r="A101" s="71" t="s">
        <v>85</v>
      </c>
      <c r="B101" s="20">
        <f t="shared" si="3"/>
        <v>0.03361344537815126</v>
      </c>
      <c r="C101" s="16">
        <f t="shared" si="4"/>
        <v>0.012181792825196462</v>
      </c>
      <c r="D101" s="16">
        <f t="shared" si="4"/>
        <v>0.011682326346208109</v>
      </c>
      <c r="E101" s="16">
        <f t="shared" si="4"/>
        <v>0.007803352911986871</v>
      </c>
      <c r="F101" s="48">
        <f t="shared" si="4"/>
        <v>0.0019459732947598183</v>
      </c>
    </row>
    <row r="102" spans="1:6" s="4" customFormat="1" ht="21">
      <c r="A102" s="71" t="s">
        <v>86</v>
      </c>
      <c r="B102" s="20">
        <f t="shared" si="3"/>
        <v>0.12605042016806722</v>
      </c>
      <c r="C102" s="16">
        <f t="shared" si="4"/>
        <v>0.04568172309448673</v>
      </c>
      <c r="D102" s="16">
        <f t="shared" si="4"/>
        <v>0.04380872379828041</v>
      </c>
      <c r="E102" s="16">
        <f t="shared" si="4"/>
        <v>0.029262573419950765</v>
      </c>
      <c r="F102" s="48">
        <f t="shared" si="4"/>
        <v>0.007297399855349319</v>
      </c>
    </row>
    <row r="103" spans="1:6" s="18" customFormat="1" ht="21">
      <c r="A103" s="72" t="s">
        <v>88</v>
      </c>
      <c r="B103" s="20">
        <f t="shared" si="3"/>
        <v>1</v>
      </c>
      <c r="C103" s="20">
        <f t="shared" si="4"/>
        <v>0.36240833654959476</v>
      </c>
      <c r="D103" s="20">
        <f t="shared" si="4"/>
        <v>0.34754920879969126</v>
      </c>
      <c r="E103" s="20">
        <f t="shared" si="4"/>
        <v>0.2321497491316094</v>
      </c>
      <c r="F103" s="52">
        <f t="shared" si="4"/>
        <v>0.057892705519104595</v>
      </c>
    </row>
    <row r="104" spans="1:6" s="4" customFormat="1" ht="21">
      <c r="A104" s="72"/>
      <c r="B104" s="42"/>
      <c r="C104" s="42"/>
      <c r="D104" s="42"/>
      <c r="E104" s="42"/>
      <c r="F104" s="53"/>
    </row>
    <row r="105" spans="1:6" s="4" customFormat="1" ht="21">
      <c r="A105" s="65" t="s">
        <v>136</v>
      </c>
      <c r="B105" s="3" t="s">
        <v>27</v>
      </c>
      <c r="C105" s="2"/>
      <c r="D105" s="2"/>
      <c r="E105" s="2"/>
      <c r="F105" s="51"/>
    </row>
    <row r="106" spans="1:6" s="4" customFormat="1" ht="21">
      <c r="A106" s="71" t="s">
        <v>129</v>
      </c>
      <c r="B106" s="2">
        <f aca="true" t="shared" si="5" ref="B106:B125">SUM(C106:F106)</f>
        <v>3016</v>
      </c>
      <c r="C106" s="1">
        <f aca="true" t="shared" si="6" ref="C106:C121">C62*(1+C$13)</f>
        <v>3016</v>
      </c>
      <c r="D106" s="1">
        <f aca="true" t="shared" si="7" ref="D106:D121">D62*(1+D$13)*(1+C$13)</f>
        <v>0</v>
      </c>
      <c r="E106" s="1">
        <f aca="true" t="shared" si="8" ref="E106:E121">E62*(1+E$13)*(1+D$13)*(1+C$13)</f>
        <v>0</v>
      </c>
      <c r="F106" s="49">
        <f aca="true" t="shared" si="9" ref="F106:F121">F62*(1+F$13)*(1+E$13)*(1+D$13)*(1+C$13)</f>
        <v>0</v>
      </c>
    </row>
    <row r="107" spans="1:6" s="4" customFormat="1" ht="21">
      <c r="A107" s="71" t="s">
        <v>71</v>
      </c>
      <c r="B107" s="2">
        <f t="shared" si="5"/>
        <v>18560</v>
      </c>
      <c r="C107" s="1">
        <f t="shared" si="6"/>
        <v>18560</v>
      </c>
      <c r="D107" s="1">
        <f t="shared" si="7"/>
        <v>0</v>
      </c>
      <c r="E107" s="1">
        <f t="shared" si="8"/>
        <v>0</v>
      </c>
      <c r="F107" s="49">
        <f t="shared" si="9"/>
        <v>0</v>
      </c>
    </row>
    <row r="108" spans="1:6" s="4" customFormat="1" ht="21">
      <c r="A108" s="71" t="s">
        <v>72</v>
      </c>
      <c r="B108" s="2">
        <f t="shared" si="5"/>
        <v>126839.03999999998</v>
      </c>
      <c r="C108" s="1">
        <f t="shared" si="6"/>
        <v>115535.99999999999</v>
      </c>
      <c r="D108" s="1">
        <f t="shared" si="7"/>
        <v>11303.039999999999</v>
      </c>
      <c r="E108" s="1">
        <f t="shared" si="8"/>
        <v>0</v>
      </c>
      <c r="F108" s="49">
        <f t="shared" si="9"/>
        <v>0</v>
      </c>
    </row>
    <row r="109" spans="1:6" s="4" customFormat="1" ht="21">
      <c r="A109" s="71" t="s">
        <v>73</v>
      </c>
      <c r="B109" s="2">
        <f t="shared" si="5"/>
        <v>36192</v>
      </c>
      <c r="C109" s="1">
        <f t="shared" si="6"/>
        <v>26100</v>
      </c>
      <c r="D109" s="1">
        <f t="shared" si="7"/>
        <v>10092</v>
      </c>
      <c r="E109" s="1">
        <f t="shared" si="8"/>
        <v>0</v>
      </c>
      <c r="F109" s="49">
        <f t="shared" si="9"/>
        <v>0</v>
      </c>
    </row>
    <row r="110" spans="1:6" s="4" customFormat="1" ht="21">
      <c r="A110" s="71" t="s">
        <v>74</v>
      </c>
      <c r="B110" s="2">
        <f t="shared" si="5"/>
        <v>9344.96</v>
      </c>
      <c r="C110" s="1">
        <f t="shared" si="6"/>
        <v>5510</v>
      </c>
      <c r="D110" s="1">
        <f t="shared" si="7"/>
        <v>3834.959999999999</v>
      </c>
      <c r="E110" s="1">
        <f t="shared" si="8"/>
        <v>0</v>
      </c>
      <c r="F110" s="49">
        <f t="shared" si="9"/>
        <v>0</v>
      </c>
    </row>
    <row r="111" spans="1:6" s="18" customFormat="1" ht="21">
      <c r="A111" s="71" t="s">
        <v>76</v>
      </c>
      <c r="B111" s="2">
        <f t="shared" si="5"/>
        <v>51364.8</v>
      </c>
      <c r="C111" s="1">
        <f t="shared" si="6"/>
        <v>23780</v>
      </c>
      <c r="D111" s="1">
        <f t="shared" si="7"/>
        <v>27584.8</v>
      </c>
      <c r="E111" s="1">
        <f t="shared" si="8"/>
        <v>0</v>
      </c>
      <c r="F111" s="49">
        <f t="shared" si="9"/>
        <v>0</v>
      </c>
    </row>
    <row r="112" spans="1:6" s="18" customFormat="1" ht="21">
      <c r="A112" s="71" t="s">
        <v>75</v>
      </c>
      <c r="B112" s="2">
        <f t="shared" si="5"/>
        <v>55408.281599999995</v>
      </c>
      <c r="C112" s="1">
        <f t="shared" si="6"/>
        <v>9744</v>
      </c>
      <c r="D112" s="1">
        <f t="shared" si="7"/>
        <v>42386.399999999994</v>
      </c>
      <c r="E112" s="1">
        <f t="shared" si="8"/>
        <v>3277.8815999999997</v>
      </c>
      <c r="F112" s="49">
        <f t="shared" si="9"/>
        <v>0</v>
      </c>
    </row>
    <row r="113" spans="1:6" s="18" customFormat="1" ht="21">
      <c r="A113" s="71" t="s">
        <v>77</v>
      </c>
      <c r="B113" s="2">
        <f t="shared" si="5"/>
        <v>69519.0784</v>
      </c>
      <c r="C113" s="1">
        <f t="shared" si="6"/>
        <v>0</v>
      </c>
      <c r="D113" s="1">
        <f t="shared" si="7"/>
        <v>53285.759999999995</v>
      </c>
      <c r="E113" s="1">
        <f t="shared" si="8"/>
        <v>16233.318399999998</v>
      </c>
      <c r="F113" s="49">
        <f t="shared" si="9"/>
        <v>0</v>
      </c>
    </row>
    <row r="114" spans="1:6" s="18" customFormat="1" ht="21">
      <c r="A114" s="71" t="s">
        <v>78</v>
      </c>
      <c r="B114" s="2">
        <f t="shared" si="5"/>
        <v>16114.905599999998</v>
      </c>
      <c r="C114" s="1">
        <f t="shared" si="6"/>
        <v>0</v>
      </c>
      <c r="D114" s="1">
        <f t="shared" si="7"/>
        <v>6593.44</v>
      </c>
      <c r="E114" s="1">
        <f t="shared" si="8"/>
        <v>9521.465599999998</v>
      </c>
      <c r="F114" s="49">
        <f t="shared" si="9"/>
        <v>0</v>
      </c>
    </row>
    <row r="115" spans="1:6" s="18" customFormat="1" ht="21">
      <c r="A115" s="71" t="s">
        <v>79</v>
      </c>
      <c r="B115" s="2">
        <f t="shared" si="5"/>
        <v>8229.043711999999</v>
      </c>
      <c r="C115" s="1">
        <f t="shared" si="6"/>
        <v>0</v>
      </c>
      <c r="D115" s="1">
        <f t="shared" si="7"/>
        <v>0</v>
      </c>
      <c r="E115" s="1">
        <f t="shared" si="8"/>
        <v>5150.956799999999</v>
      </c>
      <c r="F115" s="49">
        <f t="shared" si="9"/>
        <v>3078.086911999999</v>
      </c>
    </row>
    <row r="116" spans="1:6" s="18" customFormat="1" ht="21">
      <c r="A116" s="71" t="s">
        <v>89</v>
      </c>
      <c r="B116" s="2">
        <f t="shared" si="5"/>
        <v>74258.18879999997</v>
      </c>
      <c r="C116" s="1">
        <f t="shared" si="6"/>
        <v>12296</v>
      </c>
      <c r="D116" s="1">
        <f t="shared" si="7"/>
        <v>26373.76</v>
      </c>
      <c r="E116" s="1">
        <f t="shared" si="8"/>
        <v>35588.42879999999</v>
      </c>
      <c r="F116" s="49">
        <f t="shared" si="9"/>
        <v>0</v>
      </c>
    </row>
    <row r="117" spans="1:6" s="18" customFormat="1" ht="21">
      <c r="A117" s="71" t="s">
        <v>80</v>
      </c>
      <c r="B117" s="2">
        <f t="shared" si="5"/>
        <v>29219.97311999999</v>
      </c>
      <c r="C117" s="1">
        <f t="shared" si="6"/>
        <v>0</v>
      </c>
      <c r="D117" s="1">
        <f t="shared" si="7"/>
        <v>0</v>
      </c>
      <c r="E117" s="1">
        <f t="shared" si="8"/>
        <v>21072.095999999994</v>
      </c>
      <c r="F117" s="49">
        <f t="shared" si="9"/>
        <v>8147.877119999998</v>
      </c>
    </row>
    <row r="118" spans="1:6" s="25" customFormat="1" ht="21">
      <c r="A118" s="71" t="s">
        <v>81</v>
      </c>
      <c r="B118" s="2">
        <f t="shared" si="5"/>
        <v>19591.935999999994</v>
      </c>
      <c r="C118" s="1">
        <f t="shared" si="6"/>
        <v>0</v>
      </c>
      <c r="D118" s="1">
        <f t="shared" si="7"/>
        <v>4373.199999999999</v>
      </c>
      <c r="E118" s="1">
        <f t="shared" si="8"/>
        <v>15218.735999999997</v>
      </c>
      <c r="F118" s="49">
        <f t="shared" si="9"/>
        <v>0</v>
      </c>
    </row>
    <row r="119" spans="1:6" s="4" customFormat="1" ht="21">
      <c r="A119" s="71" t="s">
        <v>82</v>
      </c>
      <c r="B119" s="2">
        <f t="shared" si="5"/>
        <v>54058.67264</v>
      </c>
      <c r="C119" s="1">
        <f t="shared" si="6"/>
        <v>0</v>
      </c>
      <c r="D119" s="1">
        <f t="shared" si="7"/>
        <v>11774</v>
      </c>
      <c r="E119" s="1">
        <f t="shared" si="8"/>
        <v>32778.816</v>
      </c>
      <c r="F119" s="49">
        <f t="shared" si="9"/>
        <v>9505.856639999998</v>
      </c>
    </row>
    <row r="120" spans="1:6" s="17" customFormat="1" ht="21">
      <c r="A120" s="71" t="s">
        <v>83</v>
      </c>
      <c r="B120" s="2">
        <f t="shared" si="5"/>
        <v>116353.70905599998</v>
      </c>
      <c r="C120" s="1">
        <f t="shared" si="6"/>
        <v>0</v>
      </c>
      <c r="D120" s="1">
        <f t="shared" si="7"/>
        <v>40906.24</v>
      </c>
      <c r="E120" s="1">
        <f t="shared" si="8"/>
        <v>44485.53599999999</v>
      </c>
      <c r="F120" s="49">
        <f t="shared" si="9"/>
        <v>30961.933055999994</v>
      </c>
    </row>
    <row r="121" spans="1:6" s="4" customFormat="1" ht="21">
      <c r="A121" s="71" t="s">
        <v>84</v>
      </c>
      <c r="B121" s="2">
        <f t="shared" si="5"/>
        <v>14214.940671999997</v>
      </c>
      <c r="C121" s="1">
        <f t="shared" si="6"/>
        <v>3305.9999999999995</v>
      </c>
      <c r="D121" s="1">
        <f t="shared" si="7"/>
        <v>3834.959999999999</v>
      </c>
      <c r="E121" s="1">
        <f t="shared" si="8"/>
        <v>4448.553599999998</v>
      </c>
      <c r="F121" s="49">
        <f t="shared" si="9"/>
        <v>2625.427071999999</v>
      </c>
    </row>
    <row r="122" spans="1:6" s="4" customFormat="1" ht="21">
      <c r="A122" s="72" t="s">
        <v>110</v>
      </c>
      <c r="B122" s="2">
        <f t="shared" si="5"/>
        <v>702285.5295999999</v>
      </c>
      <c r="C122" s="2">
        <f>SUM(C106:C121)</f>
        <v>217848</v>
      </c>
      <c r="D122" s="2">
        <f>SUM(D106:D121)</f>
        <v>242342.56</v>
      </c>
      <c r="E122" s="2">
        <f>SUM(E106:E121)</f>
        <v>187775.78879999995</v>
      </c>
      <c r="F122" s="51">
        <f>SUM(F106:F121)</f>
        <v>54319.18079999999</v>
      </c>
    </row>
    <row r="123" spans="1:6" s="19" customFormat="1" ht="21">
      <c r="A123" s="71" t="s">
        <v>85</v>
      </c>
      <c r="B123" s="2">
        <f t="shared" si="5"/>
        <v>28091.421184</v>
      </c>
      <c r="C123" s="1">
        <f>0.04*C122</f>
        <v>8713.92</v>
      </c>
      <c r="D123" s="1">
        <f>0.04*D122</f>
        <v>9693.7024</v>
      </c>
      <c r="E123" s="1">
        <f>0.04*E122</f>
        <v>7511.031551999999</v>
      </c>
      <c r="F123" s="49">
        <f>0.04*F122</f>
        <v>2172.7672319999997</v>
      </c>
    </row>
    <row r="124" spans="1:6" s="19" customFormat="1" ht="21">
      <c r="A124" s="71" t="s">
        <v>86</v>
      </c>
      <c r="B124" s="2">
        <f t="shared" si="5"/>
        <v>105342.82944</v>
      </c>
      <c r="C124" s="1">
        <f>0.15*C122</f>
        <v>32677.199999999997</v>
      </c>
      <c r="D124" s="1">
        <f>0.15*D122</f>
        <v>36351.384</v>
      </c>
      <c r="E124" s="1">
        <f>0.15*E122</f>
        <v>28166.36831999999</v>
      </c>
      <c r="F124" s="49">
        <f>0.15*F122</f>
        <v>8147.877119999997</v>
      </c>
    </row>
    <row r="125" spans="1:6" s="19" customFormat="1" ht="21">
      <c r="A125" s="72" t="s">
        <v>88</v>
      </c>
      <c r="B125" s="2">
        <f t="shared" si="5"/>
        <v>835719.780224</v>
      </c>
      <c r="C125" s="2">
        <f>SUM(C122:C124)</f>
        <v>259239.12</v>
      </c>
      <c r="D125" s="2">
        <f>SUM(D122:D124)</f>
        <v>288387.6464</v>
      </c>
      <c r="E125" s="2">
        <f>SUM(E122:E124)</f>
        <v>223453.18867199993</v>
      </c>
      <c r="F125" s="51">
        <f>SUM(F122:F124)</f>
        <v>64639.82515199998</v>
      </c>
    </row>
    <row r="126" spans="1:6" s="19" customFormat="1" ht="21">
      <c r="A126" s="71"/>
      <c r="B126" s="1"/>
      <c r="C126" s="1"/>
      <c r="D126" s="1"/>
      <c r="E126" s="1"/>
      <c r="F126" s="49"/>
    </row>
    <row r="127" spans="1:6" s="19" customFormat="1" ht="21">
      <c r="A127" s="65" t="s">
        <v>137</v>
      </c>
      <c r="B127" s="3" t="s">
        <v>27</v>
      </c>
      <c r="C127" s="2"/>
      <c r="D127" s="2"/>
      <c r="E127" s="2"/>
      <c r="F127" s="51"/>
    </row>
    <row r="128" spans="1:6" s="19" customFormat="1" ht="21">
      <c r="A128" s="71" t="s">
        <v>129</v>
      </c>
      <c r="B128" s="20">
        <f aca="true" t="shared" si="10" ref="B128:B147">SUM(C128:F128)</f>
        <v>0.003608865161946525</v>
      </c>
      <c r="C128" s="16">
        <f aca="true" t="shared" si="11" ref="C128:F147">C106/$B$125</f>
        <v>0.003608865161946525</v>
      </c>
      <c r="D128" s="16">
        <f t="shared" si="11"/>
        <v>0</v>
      </c>
      <c r="E128" s="16">
        <f t="shared" si="11"/>
        <v>0</v>
      </c>
      <c r="F128" s="48">
        <f t="shared" si="11"/>
        <v>0</v>
      </c>
    </row>
    <row r="129" spans="1:6" s="19" customFormat="1" ht="21">
      <c r="A129" s="71" t="s">
        <v>71</v>
      </c>
      <c r="B129" s="20">
        <f t="shared" si="10"/>
        <v>0.022208400996594</v>
      </c>
      <c r="C129" s="16">
        <f t="shared" si="11"/>
        <v>0.022208400996594</v>
      </c>
      <c r="D129" s="16">
        <f t="shared" si="11"/>
        <v>0</v>
      </c>
      <c r="E129" s="16">
        <f t="shared" si="11"/>
        <v>0</v>
      </c>
      <c r="F129" s="48">
        <f t="shared" si="11"/>
        <v>0</v>
      </c>
    </row>
    <row r="130" spans="1:6" s="19" customFormat="1" ht="21">
      <c r="A130" s="71" t="s">
        <v>72</v>
      </c>
      <c r="B130" s="20">
        <f t="shared" si="10"/>
        <v>0.1517722124107234</v>
      </c>
      <c r="C130" s="16">
        <f t="shared" si="11"/>
        <v>0.13824729620379764</v>
      </c>
      <c r="D130" s="16">
        <f t="shared" si="11"/>
        <v>0.013524916206925745</v>
      </c>
      <c r="E130" s="16">
        <f t="shared" si="11"/>
        <v>0</v>
      </c>
      <c r="F130" s="48">
        <f t="shared" si="11"/>
        <v>0</v>
      </c>
    </row>
    <row r="131" spans="1:6" s="19" customFormat="1" ht="21">
      <c r="A131" s="71" t="s">
        <v>73</v>
      </c>
      <c r="B131" s="20">
        <f t="shared" si="10"/>
        <v>0.0433063819433583</v>
      </c>
      <c r="C131" s="16">
        <f t="shared" si="11"/>
        <v>0.031230563901460312</v>
      </c>
      <c r="D131" s="16">
        <f t="shared" si="11"/>
        <v>0.012075818041897987</v>
      </c>
      <c r="E131" s="16">
        <f t="shared" si="11"/>
        <v>0</v>
      </c>
      <c r="F131" s="48">
        <f t="shared" si="11"/>
        <v>0</v>
      </c>
    </row>
    <row r="132" spans="1:6" s="17" customFormat="1" ht="21">
      <c r="A132" s="71" t="s">
        <v>74</v>
      </c>
      <c r="B132" s="20">
        <f t="shared" si="10"/>
        <v>0.011181929901785077</v>
      </c>
      <c r="C132" s="16">
        <f t="shared" si="11"/>
        <v>0.006593119045863844</v>
      </c>
      <c r="D132" s="16">
        <f t="shared" si="11"/>
        <v>0.0045888108559212345</v>
      </c>
      <c r="E132" s="16">
        <f t="shared" si="11"/>
        <v>0</v>
      </c>
      <c r="F132" s="48">
        <f t="shared" si="11"/>
        <v>0</v>
      </c>
    </row>
    <row r="133" spans="1:6" s="21" customFormat="1" ht="21">
      <c r="A133" s="71" t="s">
        <v>76</v>
      </c>
      <c r="B133" s="20">
        <f t="shared" si="10"/>
        <v>0.06146174975807389</v>
      </c>
      <c r="C133" s="16">
        <f t="shared" si="11"/>
        <v>0.028454513776886063</v>
      </c>
      <c r="D133" s="16">
        <f t="shared" si="11"/>
        <v>0.03300723598118783</v>
      </c>
      <c r="E133" s="16">
        <f t="shared" si="11"/>
        <v>0</v>
      </c>
      <c r="F133" s="48">
        <f t="shared" si="11"/>
        <v>0</v>
      </c>
    </row>
    <row r="134" spans="1:6" s="21" customFormat="1" ht="21">
      <c r="A134" s="71" t="s">
        <v>75</v>
      </c>
      <c r="B134" s="20">
        <f t="shared" si="10"/>
        <v>0.06630007199919186</v>
      </c>
      <c r="C134" s="16">
        <f t="shared" si="11"/>
        <v>0.01165941052321185</v>
      </c>
      <c r="D134" s="16">
        <f t="shared" si="11"/>
        <v>0.05071843577597154</v>
      </c>
      <c r="E134" s="16">
        <f t="shared" si="11"/>
        <v>0.003922225700008466</v>
      </c>
      <c r="F134" s="48">
        <f t="shared" si="11"/>
        <v>0</v>
      </c>
    </row>
    <row r="135" spans="1:6" s="18" customFormat="1" ht="21">
      <c r="A135" s="71" t="s">
        <v>77</v>
      </c>
      <c r="B135" s="20">
        <f t="shared" si="10"/>
        <v>0.08318467510888235</v>
      </c>
      <c r="C135" s="16">
        <f t="shared" si="11"/>
        <v>0</v>
      </c>
      <c r="D135" s="16">
        <f t="shared" si="11"/>
        <v>0.06376031926122137</v>
      </c>
      <c r="E135" s="16">
        <f t="shared" si="11"/>
        <v>0.019424355847660973</v>
      </c>
      <c r="F135" s="48">
        <f t="shared" si="11"/>
        <v>0</v>
      </c>
    </row>
    <row r="136" spans="1:6" s="18" customFormat="1" ht="21">
      <c r="A136" s="71" t="s">
        <v>78</v>
      </c>
      <c r="B136" s="20">
        <f t="shared" si="10"/>
        <v>0.0192826662493027</v>
      </c>
      <c r="C136" s="16">
        <f t="shared" si="11"/>
        <v>0</v>
      </c>
      <c r="D136" s="16">
        <f t="shared" si="11"/>
        <v>0.007889534454040018</v>
      </c>
      <c r="E136" s="16">
        <f t="shared" si="11"/>
        <v>0.011393131795262685</v>
      </c>
      <c r="F136" s="48">
        <f t="shared" si="11"/>
        <v>0</v>
      </c>
    </row>
    <row r="137" spans="1:6" s="18" customFormat="1" ht="21">
      <c r="A137" s="71" t="s">
        <v>79</v>
      </c>
      <c r="B137" s="20">
        <f t="shared" si="10"/>
        <v>0.009846654233545062</v>
      </c>
      <c r="C137" s="16">
        <f t="shared" si="11"/>
        <v>0</v>
      </c>
      <c r="D137" s="16">
        <f t="shared" si="11"/>
        <v>0</v>
      </c>
      <c r="E137" s="16">
        <f t="shared" si="11"/>
        <v>0.006163497528584732</v>
      </c>
      <c r="F137" s="48">
        <f t="shared" si="11"/>
        <v>0.00368315670496033</v>
      </c>
    </row>
    <row r="138" spans="1:6" s="18" customFormat="1" ht="21">
      <c r="A138" s="71" t="s">
        <v>89</v>
      </c>
      <c r="B138" s="20">
        <f t="shared" si="10"/>
        <v>0.08885536821935264</v>
      </c>
      <c r="C138" s="16">
        <f t="shared" si="11"/>
        <v>0.014713065660243526</v>
      </c>
      <c r="D138" s="16">
        <f t="shared" si="11"/>
        <v>0.03155813781616007</v>
      </c>
      <c r="E138" s="16">
        <f t="shared" si="11"/>
        <v>0.04258416474294905</v>
      </c>
      <c r="F138" s="48">
        <f t="shared" si="11"/>
        <v>0</v>
      </c>
    </row>
    <row r="139" spans="1:6" s="18" customFormat="1" ht="21">
      <c r="A139" s="71" t="s">
        <v>80</v>
      </c>
      <c r="B139" s="20">
        <f t="shared" si="10"/>
        <v>0.03496384052578975</v>
      </c>
      <c r="C139" s="16">
        <f t="shared" si="11"/>
        <v>0</v>
      </c>
      <c r="D139" s="16">
        <f t="shared" si="11"/>
        <v>0</v>
      </c>
      <c r="E139" s="16">
        <f t="shared" si="11"/>
        <v>0.02521430807148299</v>
      </c>
      <c r="F139" s="48">
        <f t="shared" si="11"/>
        <v>0.009749532454306757</v>
      </c>
    </row>
    <row r="140" spans="1:6" s="18" customFormat="1" ht="21">
      <c r="A140" s="71" t="s">
        <v>81</v>
      </c>
      <c r="B140" s="20">
        <f t="shared" si="10"/>
        <v>0.023443188092004623</v>
      </c>
      <c r="C140" s="16">
        <f t="shared" si="11"/>
        <v>0</v>
      </c>
      <c r="D140" s="16">
        <f t="shared" si="11"/>
        <v>0.00523285448482246</v>
      </c>
      <c r="E140" s="16">
        <f t="shared" si="11"/>
        <v>0.01821033360718216</v>
      </c>
      <c r="F140" s="48">
        <f t="shared" si="11"/>
        <v>0</v>
      </c>
    </row>
    <row r="141" spans="1:6" s="18" customFormat="1" ht="21">
      <c r="A141" s="71" t="s">
        <v>82</v>
      </c>
      <c r="B141" s="20">
        <f t="shared" si="10"/>
        <v>0.06468516591232353</v>
      </c>
      <c r="C141" s="16">
        <f t="shared" si="11"/>
        <v>0</v>
      </c>
      <c r="D141" s="16">
        <f t="shared" si="11"/>
        <v>0.01408845438221432</v>
      </c>
      <c r="E141" s="16">
        <f t="shared" si="11"/>
        <v>0.039222257000084665</v>
      </c>
      <c r="F141" s="48">
        <f t="shared" si="11"/>
        <v>0.01137445453002455</v>
      </c>
    </row>
    <row r="142" spans="1:6" s="18" customFormat="1" ht="21">
      <c r="A142" s="71" t="s">
        <v>83</v>
      </c>
      <c r="B142" s="20">
        <f t="shared" si="10"/>
        <v>0.13922574505154517</v>
      </c>
      <c r="C142" s="16">
        <f t="shared" si="11"/>
        <v>0</v>
      </c>
      <c r="D142" s="16">
        <f t="shared" si="11"/>
        <v>0.048947315796493175</v>
      </c>
      <c r="E142" s="16">
        <f t="shared" si="11"/>
        <v>0.05323020592868632</v>
      </c>
      <c r="F142" s="48">
        <f t="shared" si="11"/>
        <v>0.037048223326365676</v>
      </c>
    </row>
    <row r="143" spans="1:6" s="18" customFormat="1" ht="21">
      <c r="A143" s="71" t="s">
        <v>84</v>
      </c>
      <c r="B143" s="20">
        <f t="shared" si="10"/>
        <v>0.01700921888936257</v>
      </c>
      <c r="C143" s="16">
        <f t="shared" si="11"/>
        <v>0.003955871427518306</v>
      </c>
      <c r="D143" s="16">
        <f t="shared" si="11"/>
        <v>0.0045888108559212345</v>
      </c>
      <c r="E143" s="16">
        <f t="shared" si="11"/>
        <v>0.005323020592868631</v>
      </c>
      <c r="F143" s="48">
        <f t="shared" si="11"/>
        <v>0.003141516013054399</v>
      </c>
    </row>
    <row r="144" spans="1:6" s="18" customFormat="1" ht="21">
      <c r="A144" s="72" t="s">
        <v>110</v>
      </c>
      <c r="B144" s="20">
        <f t="shared" si="10"/>
        <v>0.8403361344537814</v>
      </c>
      <c r="C144" s="20">
        <f t="shared" si="11"/>
        <v>0.2606711066975221</v>
      </c>
      <c r="D144" s="20">
        <f t="shared" si="11"/>
        <v>0.289980643912777</v>
      </c>
      <c r="E144" s="20">
        <f t="shared" si="11"/>
        <v>0.22468750081477065</v>
      </c>
      <c r="F144" s="52">
        <f t="shared" si="11"/>
        <v>0.06499688302871172</v>
      </c>
    </row>
    <row r="145" spans="1:6" s="18" customFormat="1" ht="21">
      <c r="A145" s="71" t="s">
        <v>85</v>
      </c>
      <c r="B145" s="20">
        <f t="shared" si="10"/>
        <v>0.03361344537815126</v>
      </c>
      <c r="C145" s="16">
        <f t="shared" si="11"/>
        <v>0.010426844267900883</v>
      </c>
      <c r="D145" s="16">
        <f t="shared" si="11"/>
        <v>0.01159922575651108</v>
      </c>
      <c r="E145" s="16">
        <f t="shared" si="11"/>
        <v>0.008987500032590827</v>
      </c>
      <c r="F145" s="48">
        <f t="shared" si="11"/>
        <v>0.0025998753211484687</v>
      </c>
    </row>
    <row r="146" spans="1:6" s="18" customFormat="1" ht="21">
      <c r="A146" s="71" t="s">
        <v>86</v>
      </c>
      <c r="B146" s="20">
        <f t="shared" si="10"/>
        <v>0.12605042016806722</v>
      </c>
      <c r="C146" s="16">
        <f t="shared" si="11"/>
        <v>0.03910066600462831</v>
      </c>
      <c r="D146" s="16">
        <f t="shared" si="11"/>
        <v>0.04349709658691655</v>
      </c>
      <c r="E146" s="16">
        <f t="shared" si="11"/>
        <v>0.0337031251222156</v>
      </c>
      <c r="F146" s="48">
        <f t="shared" si="11"/>
        <v>0.009749532454306755</v>
      </c>
    </row>
    <row r="147" spans="1:6" s="18" customFormat="1" ht="21">
      <c r="A147" s="72" t="s">
        <v>88</v>
      </c>
      <c r="B147" s="20">
        <f t="shared" si="10"/>
        <v>0.9999999999999998</v>
      </c>
      <c r="C147" s="20">
        <f t="shared" si="11"/>
        <v>0.31019861697005124</v>
      </c>
      <c r="D147" s="20">
        <f t="shared" si="11"/>
        <v>0.34507696625620465</v>
      </c>
      <c r="E147" s="20">
        <f t="shared" si="11"/>
        <v>0.26737812596957705</v>
      </c>
      <c r="F147" s="52">
        <f t="shared" si="11"/>
        <v>0.07734629080416694</v>
      </c>
    </row>
    <row r="148" spans="1:6" s="18" customFormat="1" ht="21">
      <c r="A148" s="72"/>
      <c r="B148" s="42"/>
      <c r="C148" s="42"/>
      <c r="D148" s="42"/>
      <c r="E148" s="42"/>
      <c r="F148" s="53"/>
    </row>
    <row r="149" spans="1:6" s="18" customFormat="1" ht="21">
      <c r="A149" s="65" t="s">
        <v>58</v>
      </c>
      <c r="B149" s="3"/>
      <c r="C149" s="2"/>
      <c r="D149" s="2"/>
      <c r="E149" s="2"/>
      <c r="F149" s="51"/>
    </row>
    <row r="150" spans="1:6" s="18" customFormat="1" ht="21">
      <c r="A150" s="71" t="s">
        <v>31</v>
      </c>
      <c r="B150" s="6"/>
      <c r="C150" s="1">
        <v>0</v>
      </c>
      <c r="D150" s="1">
        <f>C154</f>
        <v>0</v>
      </c>
      <c r="E150" s="1">
        <f>D154</f>
        <v>0</v>
      </c>
      <c r="F150" s="49">
        <f>E154</f>
        <v>0</v>
      </c>
    </row>
    <row r="151" spans="1:6" s="18" customFormat="1" ht="21">
      <c r="A151" s="71" t="s">
        <v>32</v>
      </c>
      <c r="B151" s="6"/>
      <c r="C151" s="1">
        <f>C21</f>
        <v>0</v>
      </c>
      <c r="D151" s="1">
        <f>D21</f>
        <v>0</v>
      </c>
      <c r="E151" s="1">
        <f>E21</f>
        <v>0</v>
      </c>
      <c r="F151" s="49">
        <v>0</v>
      </c>
    </row>
    <row r="152" spans="1:6" s="18" customFormat="1" ht="21">
      <c r="A152" s="71" t="s">
        <v>28</v>
      </c>
      <c r="B152" s="6"/>
      <c r="C152" s="1">
        <v>0</v>
      </c>
      <c r="D152" s="1">
        <v>0</v>
      </c>
      <c r="E152" s="1">
        <f>D154</f>
        <v>0</v>
      </c>
      <c r="F152" s="49">
        <f>E154</f>
        <v>0</v>
      </c>
    </row>
    <row r="153" spans="1:6" s="18" customFormat="1" ht="21">
      <c r="A153" s="71" t="s">
        <v>64</v>
      </c>
      <c r="B153" s="6"/>
      <c r="C153" s="1">
        <f>(0.02+C14)*(C151+C150-C152)</f>
        <v>0</v>
      </c>
      <c r="D153" s="1">
        <f>(0.02+D14)*(D151+D150-D152)</f>
        <v>0</v>
      </c>
      <c r="E153" s="1">
        <f>(0.02+E14)*(E151+E150-E152)</f>
        <v>0</v>
      </c>
      <c r="F153" s="49">
        <f>(0.02+F14)*(F151+F150-F152)</f>
        <v>0</v>
      </c>
    </row>
    <row r="154" spans="1:6" s="18" customFormat="1" ht="21">
      <c r="A154" s="71" t="s">
        <v>30</v>
      </c>
      <c r="B154" s="6"/>
      <c r="C154" s="1">
        <f>C150-C152+C153+C151</f>
        <v>0</v>
      </c>
      <c r="D154" s="1">
        <f>D150-D152+D153+D151</f>
        <v>0</v>
      </c>
      <c r="E154" s="1">
        <f>E150-E152+E153+E151</f>
        <v>0</v>
      </c>
      <c r="F154" s="49">
        <f>F150-F152+F153+F151</f>
        <v>0</v>
      </c>
    </row>
    <row r="155" spans="1:6" s="18" customFormat="1" ht="21">
      <c r="A155" s="72"/>
      <c r="B155" s="2"/>
      <c r="C155" s="2"/>
      <c r="D155" s="2"/>
      <c r="E155" s="2"/>
      <c r="F155" s="51"/>
    </row>
    <row r="156" spans="1:6" s="18" customFormat="1" ht="21">
      <c r="A156" s="65" t="s">
        <v>131</v>
      </c>
      <c r="B156" s="3"/>
      <c r="C156" s="20"/>
      <c r="D156" s="20"/>
      <c r="E156" s="20"/>
      <c r="F156" s="52"/>
    </row>
    <row r="157" spans="1:6" s="18" customFormat="1" ht="21">
      <c r="A157" s="71" t="s">
        <v>48</v>
      </c>
      <c r="B157" s="2">
        <f aca="true" t="shared" si="12" ref="B157:B162">SUM(C157:F157)</f>
        <v>534649.0264908889</v>
      </c>
      <c r="C157" s="1">
        <f>B20</f>
        <v>534649.0264908889</v>
      </c>
      <c r="D157" s="1">
        <f>C20</f>
        <v>0</v>
      </c>
      <c r="E157" s="1">
        <f>D20</f>
        <v>0</v>
      </c>
      <c r="F157" s="49">
        <f>E20</f>
        <v>0</v>
      </c>
    </row>
    <row r="158" spans="1:6" s="18" customFormat="1" ht="21">
      <c r="A158" s="71" t="s">
        <v>96</v>
      </c>
      <c r="B158" s="2">
        <f t="shared" si="12"/>
        <v>835719.780224</v>
      </c>
      <c r="C158" s="1">
        <f>C125</f>
        <v>259239.12</v>
      </c>
      <c r="D158" s="1">
        <f>D125</f>
        <v>288387.6464</v>
      </c>
      <c r="E158" s="1">
        <f>E125</f>
        <v>223453.18867199993</v>
      </c>
      <c r="F158" s="49">
        <f>F125</f>
        <v>64639.82515199998</v>
      </c>
    </row>
    <row r="159" spans="1:6" s="18" customFormat="1" ht="21">
      <c r="A159" s="71" t="s">
        <v>87</v>
      </c>
      <c r="B159" s="2">
        <f t="shared" si="12"/>
        <v>41785.9890112</v>
      </c>
      <c r="C159" s="1">
        <f>0.05*C125</f>
        <v>12961.956</v>
      </c>
      <c r="D159" s="1">
        <f>0.05*D125</f>
        <v>14419.382320000002</v>
      </c>
      <c r="E159" s="1">
        <f>0.05*E125</f>
        <v>11172.659433599998</v>
      </c>
      <c r="F159" s="49">
        <f>0.05*F125</f>
        <v>3231.9912575999992</v>
      </c>
    </row>
    <row r="160" spans="1:6" s="18" customFormat="1" ht="21">
      <c r="A160" s="71" t="s">
        <v>97</v>
      </c>
      <c r="B160" s="2">
        <f t="shared" si="12"/>
        <v>0</v>
      </c>
      <c r="C160" s="1">
        <f>C153</f>
        <v>0</v>
      </c>
      <c r="D160" s="1">
        <f>D153</f>
        <v>0</v>
      </c>
      <c r="E160" s="1">
        <f>E153</f>
        <v>0</v>
      </c>
      <c r="F160" s="49">
        <f>F153</f>
        <v>0</v>
      </c>
    </row>
    <row r="161" spans="1:6" s="18" customFormat="1" ht="21">
      <c r="A161" s="71" t="s">
        <v>98</v>
      </c>
      <c r="B161" s="2">
        <f t="shared" si="12"/>
        <v>16714.39560448</v>
      </c>
      <c r="C161" s="1">
        <f>0.02*C158</f>
        <v>5184.7824</v>
      </c>
      <c r="D161" s="1">
        <f>0.02*D158</f>
        <v>5767.752928000001</v>
      </c>
      <c r="E161" s="1">
        <f>0.02*E158</f>
        <v>4469.063773439999</v>
      </c>
      <c r="F161" s="49">
        <f>0.02*F158</f>
        <v>1292.7965030399996</v>
      </c>
    </row>
    <row r="162" spans="1:6" s="17" customFormat="1" ht="21">
      <c r="A162" s="75" t="s">
        <v>50</v>
      </c>
      <c r="B162" s="2">
        <f t="shared" si="12"/>
        <v>1428869.1913305689</v>
      </c>
      <c r="C162" s="7">
        <f>SUM(C157:C161)</f>
        <v>812034.8848908889</v>
      </c>
      <c r="D162" s="7">
        <f>SUM(D157:D161)</f>
        <v>308574.781648</v>
      </c>
      <c r="E162" s="7">
        <f>SUM(E157:E161)</f>
        <v>239094.91187903992</v>
      </c>
      <c r="F162" s="54">
        <f>SUM(F157:F161)</f>
        <v>69164.61291263998</v>
      </c>
    </row>
    <row r="163" spans="1:6" s="17" customFormat="1" ht="21">
      <c r="A163" s="71"/>
      <c r="B163" s="1"/>
      <c r="C163" s="1"/>
      <c r="D163" s="1"/>
      <c r="E163" s="1"/>
      <c r="F163" s="49"/>
    </row>
    <row r="164" spans="1:6" s="4" customFormat="1" ht="21">
      <c r="A164" s="65" t="s">
        <v>18</v>
      </c>
      <c r="B164" s="3"/>
      <c r="C164" s="18"/>
      <c r="D164" s="18"/>
      <c r="E164" s="2"/>
      <c r="F164" s="51"/>
    </row>
    <row r="165" spans="1:6" s="21" customFormat="1" ht="21">
      <c r="A165" s="71" t="s">
        <v>48</v>
      </c>
      <c r="B165" s="20">
        <f aca="true" t="shared" si="13" ref="B165:B170">SUM(C165:F165)</f>
        <v>0.3741763275006451</v>
      </c>
      <c r="C165" s="16">
        <f aca="true" t="shared" si="14" ref="C165:F170">C157/$B$162</f>
        <v>0.3741763275006451</v>
      </c>
      <c r="D165" s="16">
        <f t="shared" si="14"/>
        <v>0</v>
      </c>
      <c r="E165" s="16">
        <f t="shared" si="14"/>
        <v>0</v>
      </c>
      <c r="F165" s="48">
        <f t="shared" si="14"/>
        <v>0</v>
      </c>
    </row>
    <row r="166" spans="1:6" s="17" customFormat="1" ht="21">
      <c r="A166" s="71" t="s">
        <v>49</v>
      </c>
      <c r="B166" s="20">
        <f t="shared" si="13"/>
        <v>0.5848819369152849</v>
      </c>
      <c r="C166" s="16">
        <f t="shared" si="14"/>
        <v>0.18142956792188616</v>
      </c>
      <c r="D166" s="16">
        <f t="shared" si="14"/>
        <v>0.2018292844087794</v>
      </c>
      <c r="E166" s="16">
        <f t="shared" si="14"/>
        <v>0.1563846362058653</v>
      </c>
      <c r="F166" s="48">
        <f t="shared" si="14"/>
        <v>0.04523844837875405</v>
      </c>
    </row>
    <row r="167" spans="1:6" s="4" customFormat="1" ht="21">
      <c r="A167" s="71" t="s">
        <v>87</v>
      </c>
      <c r="B167" s="20">
        <f t="shared" si="13"/>
        <v>0.029244096845764248</v>
      </c>
      <c r="C167" s="16">
        <f t="shared" si="14"/>
        <v>0.009071478396094308</v>
      </c>
      <c r="D167" s="16">
        <f t="shared" si="14"/>
        <v>0.01009146422043897</v>
      </c>
      <c r="E167" s="16">
        <f t="shared" si="14"/>
        <v>0.007819231810293266</v>
      </c>
      <c r="F167" s="48">
        <f t="shared" si="14"/>
        <v>0.0022619224189377026</v>
      </c>
    </row>
    <row r="168" spans="1:6" s="4" customFormat="1" ht="21">
      <c r="A168" s="71" t="s">
        <v>14</v>
      </c>
      <c r="B168" s="20">
        <f t="shared" si="13"/>
        <v>0</v>
      </c>
      <c r="C168" s="16">
        <f t="shared" si="14"/>
        <v>0</v>
      </c>
      <c r="D168" s="16">
        <f t="shared" si="14"/>
        <v>0</v>
      </c>
      <c r="E168" s="16">
        <f t="shared" si="14"/>
        <v>0</v>
      </c>
      <c r="F168" s="48">
        <f t="shared" si="14"/>
        <v>0</v>
      </c>
    </row>
    <row r="169" spans="1:6" s="4" customFormat="1" ht="21">
      <c r="A169" s="71" t="s">
        <v>15</v>
      </c>
      <c r="B169" s="20">
        <f t="shared" si="13"/>
        <v>0.011697638738305698</v>
      </c>
      <c r="C169" s="16">
        <f t="shared" si="14"/>
        <v>0.003628591358437723</v>
      </c>
      <c r="D169" s="16">
        <f t="shared" si="14"/>
        <v>0.004036585688175588</v>
      </c>
      <c r="E169" s="16">
        <f t="shared" si="14"/>
        <v>0.0031276927241173057</v>
      </c>
      <c r="F169" s="48">
        <f t="shared" si="14"/>
        <v>0.000904768967575081</v>
      </c>
    </row>
    <row r="170" spans="1:6" s="45" customFormat="1" ht="21">
      <c r="A170" s="72" t="s">
        <v>3</v>
      </c>
      <c r="B170" s="20">
        <f t="shared" si="13"/>
        <v>1</v>
      </c>
      <c r="C170" s="20">
        <f t="shared" si="14"/>
        <v>0.5683059651770633</v>
      </c>
      <c r="D170" s="20">
        <f t="shared" si="14"/>
        <v>0.21595733431739395</v>
      </c>
      <c r="E170" s="20">
        <f t="shared" si="14"/>
        <v>0.16733156074027586</v>
      </c>
      <c r="F170" s="52">
        <f t="shared" si="14"/>
        <v>0.04840513976526683</v>
      </c>
    </row>
    <row r="171" spans="1:6" s="17" customFormat="1" ht="21">
      <c r="A171" s="71"/>
      <c r="B171" s="1"/>
      <c r="C171" s="1"/>
      <c r="D171" s="1"/>
      <c r="E171" s="1"/>
      <c r="F171" s="49"/>
    </row>
    <row r="172" spans="1:6" s="4" customFormat="1" ht="21">
      <c r="A172" s="65" t="s">
        <v>91</v>
      </c>
      <c r="B172" s="27" t="s">
        <v>27</v>
      </c>
      <c r="C172" s="22"/>
      <c r="D172" s="22"/>
      <c r="E172" s="22"/>
      <c r="F172" s="55"/>
    </row>
    <row r="173" spans="1:6" s="21" customFormat="1" ht="21">
      <c r="A173" s="71" t="s">
        <v>94</v>
      </c>
      <c r="B173" s="2">
        <f>SUM(C173:F173)</f>
        <v>2168178.843647999</v>
      </c>
      <c r="C173" s="1">
        <f>C27*C26</f>
        <v>242207.99999999997</v>
      </c>
      <c r="D173" s="1">
        <f>D27*D26</f>
        <v>374615.0399999999</v>
      </c>
      <c r="E173" s="1">
        <f>E27*E26</f>
        <v>543191.8079999998</v>
      </c>
      <c r="F173" s="49">
        <f>F27*F26</f>
        <v>1008163.9956479996</v>
      </c>
    </row>
    <row r="174" spans="1:6" s="4" customFormat="1" ht="21">
      <c r="A174" s="76" t="s">
        <v>93</v>
      </c>
      <c r="B174" s="42">
        <f>SUM(C174:F174)</f>
        <v>1</v>
      </c>
      <c r="C174" s="16">
        <f>C173/$B$173</f>
        <v>0.11171034193493039</v>
      </c>
      <c r="D174" s="16">
        <f>D173/$B$173</f>
        <v>0.17277866219269233</v>
      </c>
      <c r="E174" s="16">
        <f>E173/$B$173</f>
        <v>0.25052906017940385</v>
      </c>
      <c r="F174" s="48">
        <f>F173/$B$173</f>
        <v>0.46498193569297347</v>
      </c>
    </row>
    <row r="175" spans="1:6" s="18" customFormat="1" ht="21">
      <c r="A175" s="66"/>
      <c r="B175" s="12"/>
      <c r="C175" s="22"/>
      <c r="D175" s="22"/>
      <c r="E175" s="22"/>
      <c r="F175" s="55"/>
    </row>
    <row r="176" spans="1:6" s="4" customFormat="1" ht="21">
      <c r="A176" s="65" t="s">
        <v>95</v>
      </c>
      <c r="B176" s="3"/>
      <c r="C176" s="1"/>
      <c r="D176" s="1"/>
      <c r="E176" s="1"/>
      <c r="F176" s="49"/>
    </row>
    <row r="177" spans="1:6" s="4" customFormat="1" ht="21">
      <c r="A177" s="71" t="s">
        <v>48</v>
      </c>
      <c r="B177" s="2">
        <f>SUM(C177:F177)</f>
        <v>534649.0264908889</v>
      </c>
      <c r="C177" s="1">
        <f>B20</f>
        <v>534649.0264908889</v>
      </c>
      <c r="D177" s="1">
        <f>C20</f>
        <v>0</v>
      </c>
      <c r="E177" s="1">
        <f>D20</f>
        <v>0</v>
      </c>
      <c r="F177" s="49">
        <f>E20</f>
        <v>0</v>
      </c>
    </row>
    <row r="178" spans="1:6" s="4" customFormat="1" ht="21">
      <c r="A178" s="71" t="s">
        <v>49</v>
      </c>
      <c r="B178" s="2">
        <f>SUM(C178:F178)</f>
        <v>835719.780224</v>
      </c>
      <c r="C178" s="1">
        <f>C158</f>
        <v>259239.12</v>
      </c>
      <c r="D178" s="1">
        <f>D158</f>
        <v>288387.6464</v>
      </c>
      <c r="E178" s="1">
        <f>E158</f>
        <v>223453.18867199993</v>
      </c>
      <c r="F178" s="49">
        <f>F158</f>
        <v>64639.82515199998</v>
      </c>
    </row>
    <row r="179" spans="1:6" s="4" customFormat="1" ht="21">
      <c r="A179" s="72" t="s">
        <v>3</v>
      </c>
      <c r="B179" s="2">
        <f>SUM(C179:F179)</f>
        <v>1370368.8067148887</v>
      </c>
      <c r="C179" s="2">
        <f>SUM(C177:C178)</f>
        <v>793888.1464908889</v>
      </c>
      <c r="D179" s="2">
        <f>SUM(D177:D178)</f>
        <v>288387.6464</v>
      </c>
      <c r="E179" s="2">
        <f>SUM(E177:E178)</f>
        <v>223453.18867199993</v>
      </c>
      <c r="F179" s="51">
        <f>SUM(F177:F178)</f>
        <v>64639.82515199998</v>
      </c>
    </row>
    <row r="180" spans="1:6" ht="21">
      <c r="A180" s="72"/>
      <c r="B180" s="2"/>
      <c r="C180" s="2"/>
      <c r="D180" s="2"/>
      <c r="E180" s="2"/>
      <c r="F180" s="51"/>
    </row>
    <row r="181" spans="1:6" ht="21">
      <c r="A181" s="65" t="s">
        <v>65</v>
      </c>
      <c r="B181" s="3"/>
      <c r="C181" s="1"/>
      <c r="D181" s="1"/>
      <c r="E181" s="1"/>
      <c r="F181" s="49"/>
    </row>
    <row r="182" spans="1:6" ht="21">
      <c r="A182" s="71" t="s">
        <v>87</v>
      </c>
      <c r="B182" s="2">
        <f>SUM(C182:F182)</f>
        <v>41785.9890112</v>
      </c>
      <c r="C182" s="1">
        <f aca="true" t="shared" si="15" ref="C182:F184">C159</f>
        <v>12961.956</v>
      </c>
      <c r="D182" s="1">
        <f t="shared" si="15"/>
        <v>14419.382320000002</v>
      </c>
      <c r="E182" s="1">
        <f t="shared" si="15"/>
        <v>11172.659433599998</v>
      </c>
      <c r="F182" s="49">
        <f t="shared" si="15"/>
        <v>3231.9912575999992</v>
      </c>
    </row>
    <row r="183" spans="1:6" ht="21">
      <c r="A183" s="71" t="s">
        <v>14</v>
      </c>
      <c r="B183" s="2">
        <f>SUM(C183:F183)</f>
        <v>0</v>
      </c>
      <c r="C183" s="1">
        <f t="shared" si="15"/>
        <v>0</v>
      </c>
      <c r="D183" s="1">
        <f t="shared" si="15"/>
        <v>0</v>
      </c>
      <c r="E183" s="1">
        <f t="shared" si="15"/>
        <v>0</v>
      </c>
      <c r="F183" s="49">
        <f t="shared" si="15"/>
        <v>0</v>
      </c>
    </row>
    <row r="184" spans="1:6" ht="21">
      <c r="A184" s="71" t="s">
        <v>15</v>
      </c>
      <c r="B184" s="2">
        <f>SUM(C184:F184)</f>
        <v>16714.39560448</v>
      </c>
      <c r="C184" s="1">
        <f t="shared" si="15"/>
        <v>5184.7824</v>
      </c>
      <c r="D184" s="1">
        <f t="shared" si="15"/>
        <v>5767.752928000001</v>
      </c>
      <c r="E184" s="1">
        <f t="shared" si="15"/>
        <v>4469.063773439999</v>
      </c>
      <c r="F184" s="49">
        <f t="shared" si="15"/>
        <v>1292.7965030399996</v>
      </c>
    </row>
    <row r="185" spans="1:6" ht="21">
      <c r="A185" s="72" t="s">
        <v>3</v>
      </c>
      <c r="B185" s="2">
        <f>SUM(C185:F185)</f>
        <v>58500.38461568001</v>
      </c>
      <c r="C185" s="2">
        <f>SUM(C182:C184)</f>
        <v>18146.738400000002</v>
      </c>
      <c r="D185" s="2">
        <f>SUM(D182:D184)</f>
        <v>20187.135248000002</v>
      </c>
      <c r="E185" s="2">
        <f>SUM(E182:E184)</f>
        <v>15641.723207039997</v>
      </c>
      <c r="F185" s="51">
        <f>SUM(F182:F184)</f>
        <v>4524.787760639999</v>
      </c>
    </row>
    <row r="186" spans="1:6" s="4" customFormat="1" ht="21">
      <c r="A186" s="72"/>
      <c r="B186" s="2"/>
      <c r="C186" s="2"/>
      <c r="D186" s="2"/>
      <c r="E186" s="2"/>
      <c r="F186" s="51"/>
    </row>
    <row r="187" spans="1:6" s="4" customFormat="1" ht="21">
      <c r="A187" s="66" t="s">
        <v>125</v>
      </c>
      <c r="B187" s="27"/>
      <c r="C187" s="16"/>
      <c r="D187" s="16"/>
      <c r="E187" s="16"/>
      <c r="F187" s="48"/>
    </row>
    <row r="188" spans="1:6" s="4" customFormat="1" ht="21">
      <c r="A188" s="71" t="s">
        <v>100</v>
      </c>
      <c r="B188" s="2">
        <f>SUM(C188:F188)</f>
        <v>797810.0369331106</v>
      </c>
      <c r="C188" s="1">
        <f>C173-C179</f>
        <v>-551680.1464908889</v>
      </c>
      <c r="D188" s="1">
        <f>D173-D179</f>
        <v>86227.3935999999</v>
      </c>
      <c r="E188" s="1">
        <f>E173-E179</f>
        <v>319738.6193279999</v>
      </c>
      <c r="F188" s="49">
        <f>F173-F179</f>
        <v>943524.1704959996</v>
      </c>
    </row>
    <row r="189" spans="1:6" s="4" customFormat="1" ht="21">
      <c r="A189" s="77"/>
      <c r="B189" s="17"/>
      <c r="C189" s="16"/>
      <c r="D189" s="16"/>
      <c r="E189" s="16"/>
      <c r="F189" s="48"/>
    </row>
    <row r="190" spans="1:6" s="4" customFormat="1" ht="21">
      <c r="A190" s="65" t="s">
        <v>24</v>
      </c>
      <c r="B190" s="3"/>
      <c r="C190" s="1"/>
      <c r="D190" s="1"/>
      <c r="E190" s="1"/>
      <c r="F190" s="49"/>
    </row>
    <row r="191" spans="1:6" s="4" customFormat="1" ht="21">
      <c r="A191" s="71" t="s">
        <v>23</v>
      </c>
      <c r="B191" s="2">
        <f aca="true" t="shared" si="16" ref="B191:B200">SUM(C191:F191)</f>
        <v>2168178.843647999</v>
      </c>
      <c r="C191" s="1">
        <f>C173</f>
        <v>242207.99999999997</v>
      </c>
      <c r="D191" s="1">
        <f>D173</f>
        <v>374615.0399999999</v>
      </c>
      <c r="E191" s="1">
        <f>E173</f>
        <v>543191.8079999998</v>
      </c>
      <c r="F191" s="49">
        <f>F173</f>
        <v>1008163.9956479996</v>
      </c>
    </row>
    <row r="192" spans="1:6" s="4" customFormat="1" ht="21">
      <c r="A192" s="71" t="s">
        <v>47</v>
      </c>
      <c r="B192" s="2">
        <f t="shared" si="16"/>
        <v>1370368.8067148887</v>
      </c>
      <c r="C192" s="1">
        <f>C179</f>
        <v>793888.1464908889</v>
      </c>
      <c r="D192" s="1">
        <f>D179</f>
        <v>288387.6464</v>
      </c>
      <c r="E192" s="1">
        <f>E179</f>
        <v>223453.18867199993</v>
      </c>
      <c r="F192" s="49">
        <f>F179</f>
        <v>64639.82515199998</v>
      </c>
    </row>
    <row r="193" spans="1:6" s="4" customFormat="1" ht="21">
      <c r="A193" s="71" t="s">
        <v>20</v>
      </c>
      <c r="B193" s="2">
        <f t="shared" si="16"/>
        <v>797810.0369331106</v>
      </c>
      <c r="C193" s="1">
        <f>C191-C192</f>
        <v>-551680.1464908889</v>
      </c>
      <c r="D193" s="1">
        <f>D191-D192</f>
        <v>86227.3935999999</v>
      </c>
      <c r="E193" s="1">
        <f>E191-E192</f>
        <v>319738.6193279999</v>
      </c>
      <c r="F193" s="49">
        <f>F191-F192</f>
        <v>943524.1704959996</v>
      </c>
    </row>
    <row r="194" spans="1:6" ht="21">
      <c r="A194" s="71" t="s">
        <v>130</v>
      </c>
      <c r="B194" s="2">
        <f t="shared" si="16"/>
        <v>41785.9890112</v>
      </c>
      <c r="C194" s="1">
        <f>C182</f>
        <v>12961.956</v>
      </c>
      <c r="D194" s="1">
        <f>D182</f>
        <v>14419.382320000002</v>
      </c>
      <c r="E194" s="1">
        <f>E182</f>
        <v>11172.659433599998</v>
      </c>
      <c r="F194" s="49">
        <f>F182</f>
        <v>3231.9912575999992</v>
      </c>
    </row>
    <row r="195" spans="1:6" ht="21">
      <c r="A195" s="71" t="s">
        <v>26</v>
      </c>
      <c r="B195" s="2">
        <f t="shared" si="16"/>
        <v>756024.0479219104</v>
      </c>
      <c r="C195" s="1">
        <f>C193-C194</f>
        <v>-564642.1024908889</v>
      </c>
      <c r="D195" s="1">
        <f>D193-D194</f>
        <v>71808.01127999989</v>
      </c>
      <c r="E195" s="1">
        <f>E193-E194</f>
        <v>308565.95989439986</v>
      </c>
      <c r="F195" s="49">
        <f>F193-F194</f>
        <v>940292.1792383996</v>
      </c>
    </row>
    <row r="196" spans="1:6" ht="21">
      <c r="A196" s="71" t="s">
        <v>25</v>
      </c>
      <c r="B196" s="2">
        <f t="shared" si="16"/>
        <v>0</v>
      </c>
      <c r="C196" s="1">
        <f aca="true" t="shared" si="17" ref="C196:F197">C183</f>
        <v>0</v>
      </c>
      <c r="D196" s="1">
        <f t="shared" si="17"/>
        <v>0</v>
      </c>
      <c r="E196" s="1">
        <f t="shared" si="17"/>
        <v>0</v>
      </c>
      <c r="F196" s="49">
        <f t="shared" si="17"/>
        <v>0</v>
      </c>
    </row>
    <row r="197" spans="1:6" ht="21">
      <c r="A197" s="71" t="s">
        <v>101</v>
      </c>
      <c r="B197" s="2">
        <f t="shared" si="16"/>
        <v>16714.39560448</v>
      </c>
      <c r="C197" s="1">
        <f t="shared" si="17"/>
        <v>5184.7824</v>
      </c>
      <c r="D197" s="1">
        <f t="shared" si="17"/>
        <v>5767.752928000001</v>
      </c>
      <c r="E197" s="1">
        <f t="shared" si="17"/>
        <v>4469.063773439999</v>
      </c>
      <c r="F197" s="49">
        <f t="shared" si="17"/>
        <v>1292.7965030399996</v>
      </c>
    </row>
    <row r="198" spans="1:6" ht="21">
      <c r="A198" s="71" t="s">
        <v>51</v>
      </c>
      <c r="B198" s="2">
        <f t="shared" si="16"/>
        <v>739309.6523174304</v>
      </c>
      <c r="C198" s="1">
        <f>C195-C196-C197</f>
        <v>-569826.8848908889</v>
      </c>
      <c r="D198" s="1">
        <f>D195-D196-D197</f>
        <v>66040.25835199989</v>
      </c>
      <c r="E198" s="1">
        <f>E195-E196-E197</f>
        <v>304096.89612095983</v>
      </c>
      <c r="F198" s="49">
        <f>F195-F196-F197</f>
        <v>938999.3827353596</v>
      </c>
    </row>
    <row r="199" spans="1:6" ht="21">
      <c r="A199" s="71" t="s">
        <v>52</v>
      </c>
      <c r="B199" s="2">
        <f t="shared" si="16"/>
        <v>0</v>
      </c>
      <c r="C199" s="1">
        <v>0</v>
      </c>
      <c r="D199" s="1">
        <v>0</v>
      </c>
      <c r="E199" s="1">
        <v>0</v>
      </c>
      <c r="F199" s="49">
        <v>0</v>
      </c>
    </row>
    <row r="200" spans="1:6" ht="21">
      <c r="A200" s="72" t="s">
        <v>19</v>
      </c>
      <c r="B200" s="2">
        <f t="shared" si="16"/>
        <v>739309.6523174304</v>
      </c>
      <c r="C200" s="2">
        <f>C198-C199</f>
        <v>-569826.8848908889</v>
      </c>
      <c r="D200" s="2">
        <f>D198-D199</f>
        <v>66040.25835199989</v>
      </c>
      <c r="E200" s="2">
        <f>E198-E199</f>
        <v>304096.89612095983</v>
      </c>
      <c r="F200" s="51">
        <f>F198-F199</f>
        <v>938999.3827353596</v>
      </c>
    </row>
    <row r="201" spans="1:6" ht="21">
      <c r="A201" s="72"/>
      <c r="B201" s="2"/>
      <c r="C201" s="2"/>
      <c r="D201" s="2"/>
      <c r="E201" s="2"/>
      <c r="F201" s="51"/>
    </row>
    <row r="202" spans="1:6" ht="21">
      <c r="A202" s="65" t="s">
        <v>53</v>
      </c>
      <c r="B202" s="3"/>
      <c r="C202" s="1"/>
      <c r="D202" s="1"/>
      <c r="E202" s="1"/>
      <c r="F202" s="49"/>
    </row>
    <row r="203" spans="1:6" ht="21">
      <c r="A203" s="71" t="s">
        <v>19</v>
      </c>
      <c r="B203" s="2">
        <f>SUM(C203:F203)</f>
        <v>739309.6523174304</v>
      </c>
      <c r="C203" s="1">
        <f>C200</f>
        <v>-569826.8848908889</v>
      </c>
      <c r="D203" s="1">
        <f>D200</f>
        <v>66040.25835199989</v>
      </c>
      <c r="E203" s="1">
        <f>E200</f>
        <v>304096.89612095983</v>
      </c>
      <c r="F203" s="49">
        <f>F200</f>
        <v>938999.3827353596</v>
      </c>
    </row>
    <row r="204" spans="1:6" s="28" customFormat="1" ht="21">
      <c r="A204" s="71" t="s">
        <v>54</v>
      </c>
      <c r="B204" s="2"/>
      <c r="C204" s="1">
        <v>0</v>
      </c>
      <c r="D204" s="1">
        <f>C208</f>
        <v>-569826.8848908889</v>
      </c>
      <c r="E204" s="1">
        <f>D208</f>
        <v>-503786.626538889</v>
      </c>
      <c r="F204" s="49">
        <f>E208</f>
        <v>-199689.73041792918</v>
      </c>
    </row>
    <row r="205" spans="1:6" ht="21">
      <c r="A205" s="71" t="s">
        <v>55</v>
      </c>
      <c r="B205" s="2"/>
      <c r="C205" s="1">
        <f>C203+C204</f>
        <v>-569826.8848908889</v>
      </c>
      <c r="D205" s="1">
        <f>D203+D204</f>
        <v>-503786.626538889</v>
      </c>
      <c r="E205" s="1">
        <f>E203+E204</f>
        <v>-199689.73041792918</v>
      </c>
      <c r="F205" s="49">
        <f>F203+F204</f>
        <v>739309.6523174304</v>
      </c>
    </row>
    <row r="206" spans="1:6" s="4" customFormat="1" ht="21">
      <c r="A206" s="71" t="s">
        <v>56</v>
      </c>
      <c r="B206" s="2">
        <f>SUM(C206:F206)</f>
        <v>36965.48261587152</v>
      </c>
      <c r="C206" s="1">
        <f>IF(C205&lt;0,0,0.05*C205)</f>
        <v>0</v>
      </c>
      <c r="D206" s="1">
        <f>IF(D205&lt;0,0,0.05*D205)</f>
        <v>0</v>
      </c>
      <c r="E206" s="1">
        <f>IF(E205&lt;0,0,0.05*E205)</f>
        <v>0</v>
      </c>
      <c r="F206" s="49">
        <f>IF(F205&lt;0,0,0.05*F205)</f>
        <v>36965.48261587152</v>
      </c>
    </row>
    <row r="207" spans="1:6" s="4" customFormat="1" ht="21">
      <c r="A207" s="71" t="s">
        <v>22</v>
      </c>
      <c r="B207" s="2">
        <f>SUM(C207:F207)</f>
        <v>0</v>
      </c>
      <c r="C207" s="1">
        <v>0</v>
      </c>
      <c r="D207" s="1">
        <v>0</v>
      </c>
      <c r="E207" s="1">
        <v>0</v>
      </c>
      <c r="F207" s="49">
        <v>0</v>
      </c>
    </row>
    <row r="208" spans="1:6" s="4" customFormat="1" ht="21">
      <c r="A208" s="72" t="s">
        <v>57</v>
      </c>
      <c r="B208" s="2"/>
      <c r="C208" s="2">
        <f>C205-C206-C207</f>
        <v>-569826.8848908889</v>
      </c>
      <c r="D208" s="2">
        <f>D205-D206-D207</f>
        <v>-503786.626538889</v>
      </c>
      <c r="E208" s="2">
        <f>E205-E206-E207</f>
        <v>-199689.73041792918</v>
      </c>
      <c r="F208" s="51">
        <f>F205-F206-F207</f>
        <v>702344.1697015589</v>
      </c>
    </row>
    <row r="209" spans="1:6" s="4" customFormat="1" ht="21">
      <c r="A209" s="72"/>
      <c r="B209" s="2"/>
      <c r="C209" s="2"/>
      <c r="D209" s="2"/>
      <c r="E209" s="2"/>
      <c r="F209" s="51"/>
    </row>
    <row r="210" spans="1:6" s="4" customFormat="1" ht="21">
      <c r="A210" s="65" t="s">
        <v>5</v>
      </c>
      <c r="B210" s="3"/>
      <c r="C210" s="1"/>
      <c r="D210" s="1"/>
      <c r="E210" s="1"/>
      <c r="F210" s="49"/>
    </row>
    <row r="211" spans="1:6" s="4" customFormat="1" ht="21">
      <c r="A211" s="71" t="s">
        <v>118</v>
      </c>
      <c r="B211" s="1"/>
      <c r="C211" s="4">
        <f>C194+C196+C197</f>
        <v>18146.738400000002</v>
      </c>
      <c r="D211" s="4">
        <f>D194+D196+D197</f>
        <v>20187.135248000002</v>
      </c>
      <c r="E211" s="4">
        <f>E194+E196+E197</f>
        <v>15641.723207039997</v>
      </c>
      <c r="F211" s="56">
        <f>F194+F196+F197</f>
        <v>4524.787760639999</v>
      </c>
    </row>
    <row r="212" spans="1:6" s="4" customFormat="1" ht="21">
      <c r="A212" s="71" t="s">
        <v>119</v>
      </c>
      <c r="B212" s="1"/>
      <c r="C212" s="1">
        <f>C192</f>
        <v>793888.1464908889</v>
      </c>
      <c r="D212" s="1">
        <f>D192</f>
        <v>288387.6464</v>
      </c>
      <c r="E212" s="1">
        <f>E192</f>
        <v>223453.18867199993</v>
      </c>
      <c r="F212" s="49">
        <f>F192</f>
        <v>64639.82515199998</v>
      </c>
    </row>
    <row r="213" spans="1:6" s="4" customFormat="1" ht="21">
      <c r="A213" s="72" t="s">
        <v>4</v>
      </c>
      <c r="B213" s="2"/>
      <c r="C213" s="2">
        <f>C211+C212</f>
        <v>812034.8848908889</v>
      </c>
      <c r="D213" s="2">
        <f>D211+D212</f>
        <v>308574.781648</v>
      </c>
      <c r="E213" s="2">
        <f>E211+E212</f>
        <v>239094.91187903992</v>
      </c>
      <c r="F213" s="51">
        <f>F211+F212</f>
        <v>69164.61291263998</v>
      </c>
    </row>
    <row r="214" spans="1:6" ht="21">
      <c r="A214" s="71"/>
      <c r="B214" s="1"/>
      <c r="C214" s="1"/>
      <c r="D214" s="1"/>
      <c r="E214" s="1"/>
      <c r="F214" s="49"/>
    </row>
    <row r="215" spans="1:6" ht="21">
      <c r="A215" s="65" t="s">
        <v>102</v>
      </c>
      <c r="B215" s="3"/>
      <c r="C215" s="1"/>
      <c r="D215" s="1"/>
      <c r="E215" s="1"/>
      <c r="F215" s="49"/>
    </row>
    <row r="216" spans="1:6" ht="21">
      <c r="A216" s="78" t="s">
        <v>6</v>
      </c>
      <c r="B216" s="24">
        <f>$B$162/(B200+B196)</f>
        <v>1.932707339680544</v>
      </c>
      <c r="C216" s="24">
        <f>$B$162/(C200+C196)</f>
        <v>-2.507549624662182</v>
      </c>
      <c r="D216" s="24">
        <f>$B$162/(D200+D196)</f>
        <v>21.636335577528804</v>
      </c>
      <c r="E216" s="24">
        <f>$B$162/(E200+E196)</f>
        <v>4.698729942847596</v>
      </c>
      <c r="F216" s="50">
        <f>$B$162/(F200+F196)</f>
        <v>1.5216934298382498</v>
      </c>
    </row>
    <row r="217" spans="1:6" ht="21">
      <c r="A217" s="71" t="s">
        <v>139</v>
      </c>
      <c r="B217" s="1">
        <f>B200+B196</f>
        <v>739309.6523174304</v>
      </c>
      <c r="C217" s="1">
        <f>C200+C196</f>
        <v>-569826.8848908889</v>
      </c>
      <c r="D217" s="1">
        <f>D200+D196</f>
        <v>66040.25835199989</v>
      </c>
      <c r="E217" s="1">
        <f>E200+E196</f>
        <v>304096.89612095983</v>
      </c>
      <c r="F217" s="49">
        <f>F200+F196</f>
        <v>938999.3827353596</v>
      </c>
    </row>
    <row r="218" spans="1:6" ht="21">
      <c r="A218" s="71" t="s">
        <v>7</v>
      </c>
      <c r="B218" s="1"/>
      <c r="C218" s="1">
        <f>B218+C217</f>
        <v>-569826.8848908889</v>
      </c>
      <c r="D218" s="1">
        <f>C218+D217</f>
        <v>-503786.626538889</v>
      </c>
      <c r="E218" s="1">
        <f>D218+E217</f>
        <v>-199689.73041792918</v>
      </c>
      <c r="F218" s="49">
        <f>E218+F217</f>
        <v>739309.6523174304</v>
      </c>
    </row>
    <row r="219" spans="1:6" ht="21">
      <c r="A219" s="71"/>
      <c r="B219" s="1"/>
      <c r="C219" s="1"/>
      <c r="D219" s="1"/>
      <c r="E219" s="1"/>
      <c r="F219" s="49"/>
    </row>
    <row r="220" spans="1:6" ht="21">
      <c r="A220" s="78" t="s">
        <v>111</v>
      </c>
      <c r="B220" s="24">
        <f>$B$162/B200</f>
        <v>1.932707339680544</v>
      </c>
      <c r="C220" s="24">
        <f>$B$162/C200</f>
        <v>-2.507549624662182</v>
      </c>
      <c r="D220" s="24">
        <f>$B$162/D200</f>
        <v>21.636335577528804</v>
      </c>
      <c r="E220" s="24">
        <f>$B$162/E200</f>
        <v>4.698729942847596</v>
      </c>
      <c r="F220" s="50">
        <f>$B$162/F200</f>
        <v>1.5216934298382498</v>
      </c>
    </row>
    <row r="221" spans="1:6" ht="21">
      <c r="A221" s="71" t="s">
        <v>138</v>
      </c>
      <c r="B221" s="1">
        <f>B200</f>
        <v>739309.6523174304</v>
      </c>
      <c r="C221" s="1">
        <f>C200</f>
        <v>-569826.8848908889</v>
      </c>
      <c r="D221" s="1">
        <f>D200</f>
        <v>66040.25835199989</v>
      </c>
      <c r="E221" s="1">
        <f>E200</f>
        <v>304096.89612095983</v>
      </c>
      <c r="F221" s="49">
        <f>F200</f>
        <v>938999.3827353596</v>
      </c>
    </row>
    <row r="222" spans="1:6" s="28" customFormat="1" ht="21">
      <c r="A222" s="71" t="s">
        <v>112</v>
      </c>
      <c r="B222" s="1"/>
      <c r="C222" s="1">
        <f>B222+C221</f>
        <v>-569826.8848908889</v>
      </c>
      <c r="D222" s="1">
        <f>C222+D221</f>
        <v>-503786.626538889</v>
      </c>
      <c r="E222" s="1">
        <f>D222+E221</f>
        <v>-199689.73041792918</v>
      </c>
      <c r="F222" s="49">
        <f>E222+F221</f>
        <v>739309.6523174304</v>
      </c>
    </row>
    <row r="223" spans="1:6" s="19" customFormat="1" ht="21">
      <c r="A223" s="71"/>
      <c r="B223" s="1"/>
      <c r="C223" s="1"/>
      <c r="D223" s="1"/>
      <c r="E223" s="1"/>
      <c r="F223" s="49"/>
    </row>
    <row r="224" spans="1:6" ht="21">
      <c r="A224" s="65" t="s">
        <v>62</v>
      </c>
      <c r="B224" s="1" t="s">
        <v>121</v>
      </c>
      <c r="D224" s="1"/>
      <c r="E224" s="1"/>
      <c r="F224" s="49"/>
    </row>
    <row r="225" spans="1:6" ht="21">
      <c r="A225" s="71" t="s">
        <v>152</v>
      </c>
      <c r="B225" s="2">
        <f>-C234-C235</f>
        <v>-569649.0264908889</v>
      </c>
      <c r="C225" s="1">
        <f>C232-C234-C235-C244</f>
        <v>-327441.0264908889</v>
      </c>
      <c r="D225" s="1">
        <f>D232-D234-D235-D244</f>
        <v>374615.0399999999</v>
      </c>
      <c r="E225" s="1">
        <f>E232-E234-E235-E244</f>
        <v>543191.8079999998</v>
      </c>
      <c r="F225" s="49">
        <f>F232-F234-F235-F244</f>
        <v>1008163.9956479996</v>
      </c>
    </row>
    <row r="226" spans="1:6" ht="21">
      <c r="A226" s="70" t="s">
        <v>8</v>
      </c>
      <c r="B226" s="16"/>
      <c r="C226" s="16">
        <f>1/(1+B228)^1</f>
        <v>0.4196999871108455</v>
      </c>
      <c r="D226" s="16">
        <f>$C226*C226</f>
        <v>0.17614807918084388</v>
      </c>
      <c r="E226" s="16">
        <f>$C226*D226</f>
        <v>0.07392934656180036</v>
      </c>
      <c r="F226" s="48">
        <f>$C226*E226</f>
        <v>0.03102814579910084</v>
      </c>
    </row>
    <row r="227" spans="1:6" ht="21">
      <c r="A227" s="71" t="s">
        <v>9</v>
      </c>
      <c r="B227" s="29">
        <f>SUM(C227:F227)</f>
        <v>0</v>
      </c>
      <c r="C227" s="1">
        <f>C225*C226</f>
        <v>-137426.99459778809</v>
      </c>
      <c r="D227" s="1">
        <f>D225*D226</f>
        <v>65987.71972825499</v>
      </c>
      <c r="E227" s="1">
        <f>E225*E226</f>
        <v>40157.81542316291</v>
      </c>
      <c r="F227" s="49">
        <f>F225*F226</f>
        <v>31281.459446370198</v>
      </c>
    </row>
    <row r="228" spans="1:6" ht="21">
      <c r="A228" s="70" t="s">
        <v>10</v>
      </c>
      <c r="B228" s="16">
        <f>IRR(C225:F225)</f>
        <v>1.382654350036693</v>
      </c>
      <c r="D228" s="16"/>
      <c r="E228" s="16"/>
      <c r="F228" s="48"/>
    </row>
    <row r="229" spans="1:6" ht="21">
      <c r="A229" s="71"/>
      <c r="B229" s="1"/>
      <c r="C229" s="1"/>
      <c r="D229" s="1"/>
      <c r="E229" s="1"/>
      <c r="F229" s="49"/>
    </row>
    <row r="230" spans="1:6" ht="21">
      <c r="A230" s="65" t="s">
        <v>11</v>
      </c>
      <c r="B230" s="3"/>
      <c r="C230" s="1"/>
      <c r="D230" s="1"/>
      <c r="E230" s="1"/>
      <c r="F230" s="49"/>
    </row>
    <row r="231" spans="1:6" ht="21">
      <c r="A231" s="71" t="s">
        <v>17</v>
      </c>
      <c r="B231" s="1" t="s">
        <v>27</v>
      </c>
      <c r="C231" s="1">
        <v>0</v>
      </c>
      <c r="D231" s="1">
        <f>C248</f>
        <v>-177.85840000002645</v>
      </c>
      <c r="E231" s="1">
        <f>D248</f>
        <v>65862.39995199989</v>
      </c>
      <c r="F231" s="49">
        <f>E248</f>
        <v>369959.2960729598</v>
      </c>
    </row>
    <row r="232" spans="1:6" ht="21">
      <c r="A232" s="71" t="s">
        <v>63</v>
      </c>
      <c r="B232" s="44">
        <f>SUM(C232:F232)</f>
        <v>2168178.843647999</v>
      </c>
      <c r="C232" s="1">
        <f>C173</f>
        <v>242207.99999999997</v>
      </c>
      <c r="D232" s="1">
        <f>D173</f>
        <v>374615.0399999999</v>
      </c>
      <c r="E232" s="1">
        <f>E173</f>
        <v>543191.8079999998</v>
      </c>
      <c r="F232" s="49">
        <f>F173</f>
        <v>1008163.9956479996</v>
      </c>
    </row>
    <row r="233" spans="1:6" ht="21">
      <c r="A233" s="71" t="s">
        <v>16</v>
      </c>
      <c r="B233" s="44">
        <f>SUM(C233:F233)</f>
        <v>0</v>
      </c>
      <c r="C233" s="1">
        <v>0</v>
      </c>
      <c r="D233" s="1">
        <v>0</v>
      </c>
      <c r="E233" s="1">
        <v>0</v>
      </c>
      <c r="F233" s="49">
        <v>0</v>
      </c>
    </row>
    <row r="234" spans="1:6" ht="21">
      <c r="A234" s="71" t="s">
        <v>103</v>
      </c>
      <c r="B234" s="44">
        <f>SUM(C234:F234)</f>
        <v>534649.0264908889</v>
      </c>
      <c r="C234" s="1">
        <f>C157</f>
        <v>534649.0264908889</v>
      </c>
      <c r="D234" s="1">
        <v>0</v>
      </c>
      <c r="E234" s="1">
        <v>0</v>
      </c>
      <c r="F234" s="49">
        <v>0</v>
      </c>
    </row>
    <row r="235" spans="1:6" ht="21">
      <c r="A235" s="71" t="s">
        <v>120</v>
      </c>
      <c r="B235" s="44">
        <f>SUM(C235:F235)</f>
        <v>35000</v>
      </c>
      <c r="C235" s="1">
        <f>C22</f>
        <v>35000</v>
      </c>
      <c r="D235" s="1">
        <f>D22</f>
        <v>0</v>
      </c>
      <c r="E235" s="1">
        <f>E22</f>
        <v>0</v>
      </c>
      <c r="F235" s="49">
        <f>F22</f>
        <v>0</v>
      </c>
    </row>
    <row r="236" spans="1:6" ht="21">
      <c r="A236" s="71" t="s">
        <v>29</v>
      </c>
      <c r="B236" s="44">
        <f>SUM(C236:F236)</f>
        <v>0</v>
      </c>
      <c r="C236" s="1">
        <f>C151</f>
        <v>0</v>
      </c>
      <c r="D236" s="1">
        <f>D151</f>
        <v>0</v>
      </c>
      <c r="E236" s="1">
        <f>E151</f>
        <v>0</v>
      </c>
      <c r="F236" s="49">
        <f>F151</f>
        <v>0</v>
      </c>
    </row>
    <row r="237" spans="1:6" ht="21">
      <c r="A237" s="72" t="s">
        <v>12</v>
      </c>
      <c r="B237" s="2"/>
      <c r="C237" s="2">
        <f>SUM(C231:C236)</f>
        <v>811857.0264908889</v>
      </c>
      <c r="D237" s="2">
        <f>SUM(D231:D236)</f>
        <v>374437.1815999999</v>
      </c>
      <c r="E237" s="2">
        <f>SUM(E231:E236)</f>
        <v>609054.2079519997</v>
      </c>
      <c r="F237" s="51">
        <f>SUM(F231:F236)</f>
        <v>1378123.2917209594</v>
      </c>
    </row>
    <row r="238" spans="1:6" ht="21">
      <c r="A238" s="72"/>
      <c r="B238" s="2"/>
      <c r="C238" s="2"/>
      <c r="D238" s="2"/>
      <c r="E238" s="2"/>
      <c r="F238" s="51"/>
    </row>
    <row r="239" spans="1:6" ht="21">
      <c r="A239" s="71" t="s">
        <v>122</v>
      </c>
      <c r="B239" s="2"/>
      <c r="C239" s="1">
        <f aca="true" t="shared" si="18" ref="C239:F243">C157</f>
        <v>534649.0264908889</v>
      </c>
      <c r="D239" s="1">
        <f t="shared" si="18"/>
        <v>0</v>
      </c>
      <c r="E239" s="1">
        <f t="shared" si="18"/>
        <v>0</v>
      </c>
      <c r="F239" s="49">
        <f t="shared" si="18"/>
        <v>0</v>
      </c>
    </row>
    <row r="240" spans="1:6" ht="21">
      <c r="A240" s="71" t="s">
        <v>96</v>
      </c>
      <c r="B240" s="1"/>
      <c r="C240" s="1">
        <f t="shared" si="18"/>
        <v>259239.12</v>
      </c>
      <c r="D240" s="1">
        <f t="shared" si="18"/>
        <v>288387.6464</v>
      </c>
      <c r="E240" s="1">
        <f t="shared" si="18"/>
        <v>223453.18867199993</v>
      </c>
      <c r="F240" s="49">
        <f t="shared" si="18"/>
        <v>64639.82515199998</v>
      </c>
    </row>
    <row r="241" spans="1:6" ht="21">
      <c r="A241" s="71" t="s">
        <v>123</v>
      </c>
      <c r="B241" s="1"/>
      <c r="C241" s="1">
        <f t="shared" si="18"/>
        <v>12961.956</v>
      </c>
      <c r="D241" s="1">
        <f t="shared" si="18"/>
        <v>14419.382320000002</v>
      </c>
      <c r="E241" s="1">
        <f t="shared" si="18"/>
        <v>11172.659433599998</v>
      </c>
      <c r="F241" s="49">
        <f t="shared" si="18"/>
        <v>3231.9912575999992</v>
      </c>
    </row>
    <row r="242" spans="1:6" ht="21">
      <c r="A242" s="71" t="s">
        <v>14</v>
      </c>
      <c r="B242" s="1"/>
      <c r="C242" s="1">
        <f t="shared" si="18"/>
        <v>0</v>
      </c>
      <c r="D242" s="1">
        <f t="shared" si="18"/>
        <v>0</v>
      </c>
      <c r="E242" s="1">
        <f t="shared" si="18"/>
        <v>0</v>
      </c>
      <c r="F242" s="49">
        <f t="shared" si="18"/>
        <v>0</v>
      </c>
    </row>
    <row r="243" spans="1:6" ht="21">
      <c r="A243" s="71" t="s">
        <v>15</v>
      </c>
      <c r="B243" s="1"/>
      <c r="C243" s="1">
        <f t="shared" si="18"/>
        <v>5184.7824</v>
      </c>
      <c r="D243" s="1">
        <f t="shared" si="18"/>
        <v>5767.752928000001</v>
      </c>
      <c r="E243" s="1">
        <f t="shared" si="18"/>
        <v>4469.063773439999</v>
      </c>
      <c r="F243" s="49">
        <f t="shared" si="18"/>
        <v>1292.7965030399996</v>
      </c>
    </row>
    <row r="244" spans="1:6" ht="21">
      <c r="A244" s="71" t="s">
        <v>59</v>
      </c>
      <c r="B244" s="1"/>
      <c r="C244" s="1">
        <f>C199</f>
        <v>0</v>
      </c>
      <c r="D244" s="1">
        <f>D199</f>
        <v>0</v>
      </c>
      <c r="E244" s="1">
        <f>E199</f>
        <v>0</v>
      </c>
      <c r="F244" s="49">
        <f>F199</f>
        <v>0</v>
      </c>
    </row>
    <row r="245" spans="1:6" ht="21">
      <c r="A245" s="71" t="s">
        <v>60</v>
      </c>
      <c r="B245" s="1"/>
      <c r="C245" s="1">
        <f>C207</f>
        <v>0</v>
      </c>
      <c r="D245" s="1">
        <f>D207</f>
        <v>0</v>
      </c>
      <c r="E245" s="1">
        <f>E207</f>
        <v>0</v>
      </c>
      <c r="F245" s="49">
        <f>F207</f>
        <v>0</v>
      </c>
    </row>
    <row r="246" spans="1:6" ht="21">
      <c r="A246" s="71" t="s">
        <v>61</v>
      </c>
      <c r="B246" s="1"/>
      <c r="C246" s="1">
        <f>C152</f>
        <v>0</v>
      </c>
      <c r="D246" s="1">
        <f>D152</f>
        <v>0</v>
      </c>
      <c r="E246" s="1">
        <f>E152</f>
        <v>0</v>
      </c>
      <c r="F246" s="49">
        <f>F152</f>
        <v>0</v>
      </c>
    </row>
    <row r="247" spans="1:6" ht="21">
      <c r="A247" s="72" t="s">
        <v>13</v>
      </c>
      <c r="B247" s="2"/>
      <c r="C247" s="2">
        <f>SUM(C239:C246)</f>
        <v>812034.8848908889</v>
      </c>
      <c r="D247" s="2">
        <f>SUM(D239:D246)</f>
        <v>308574.781648</v>
      </c>
      <c r="E247" s="2">
        <f>SUM(E239:E246)</f>
        <v>239094.91187903992</v>
      </c>
      <c r="F247" s="51">
        <f>SUM(F239:F246)</f>
        <v>69164.61291263998</v>
      </c>
    </row>
    <row r="248" spans="1:6" ht="21">
      <c r="A248" s="75" t="s">
        <v>21</v>
      </c>
      <c r="B248" s="7"/>
      <c r="C248" s="7">
        <f>C237-C247</f>
        <v>-177.85840000002645</v>
      </c>
      <c r="D248" s="7">
        <f>D237-D247</f>
        <v>65862.39995199989</v>
      </c>
      <c r="E248" s="7">
        <f>E237-E247</f>
        <v>369959.2960729598</v>
      </c>
      <c r="F248" s="54">
        <f>F237-F247</f>
        <v>1308958.6788083194</v>
      </c>
    </row>
    <row r="249" spans="1:6" ht="21">
      <c r="A249" s="71"/>
      <c r="B249" s="1"/>
      <c r="C249" s="1"/>
      <c r="D249" s="1"/>
      <c r="E249" s="1"/>
      <c r="F249" s="49"/>
    </row>
    <row r="250" spans="1:6" ht="21">
      <c r="A250" s="65" t="s">
        <v>46</v>
      </c>
      <c r="B250" s="3"/>
      <c r="C250" s="1"/>
      <c r="D250" s="1"/>
      <c r="E250" s="1"/>
      <c r="F250" s="49"/>
    </row>
    <row r="251" spans="1:6" ht="21">
      <c r="A251" s="71" t="s">
        <v>17</v>
      </c>
      <c r="B251" s="1"/>
      <c r="C251" s="16">
        <f aca="true" t="shared" si="19" ref="C251:F256">C231/C$237</f>
        <v>0</v>
      </c>
      <c r="D251" s="16">
        <f t="shared" si="19"/>
        <v>-0.0004750019729344809</v>
      </c>
      <c r="E251" s="16">
        <f t="shared" si="19"/>
        <v>0.10813881439793054</v>
      </c>
      <c r="F251" s="48">
        <f t="shared" si="19"/>
        <v>0.26845152265800953</v>
      </c>
    </row>
    <row r="252" spans="1:6" ht="21">
      <c r="A252" s="71" t="s">
        <v>63</v>
      </c>
      <c r="B252" s="29"/>
      <c r="C252" s="16">
        <f t="shared" si="19"/>
        <v>0.2983382444158943</v>
      </c>
      <c r="D252" s="16">
        <f t="shared" si="19"/>
        <v>1.0004750019729345</v>
      </c>
      <c r="E252" s="16">
        <f t="shared" si="19"/>
        <v>0.8918611856020695</v>
      </c>
      <c r="F252" s="48">
        <f t="shared" si="19"/>
        <v>0.7315484773419905</v>
      </c>
    </row>
    <row r="253" spans="1:6" ht="21">
      <c r="A253" s="71" t="s">
        <v>16</v>
      </c>
      <c r="B253" s="29"/>
      <c r="C253" s="16">
        <f t="shared" si="19"/>
        <v>0</v>
      </c>
      <c r="D253" s="16">
        <f t="shared" si="19"/>
        <v>0</v>
      </c>
      <c r="E253" s="16">
        <f t="shared" si="19"/>
        <v>0</v>
      </c>
      <c r="F253" s="48">
        <f t="shared" si="19"/>
        <v>0</v>
      </c>
    </row>
    <row r="254" spans="1:6" ht="21">
      <c r="A254" s="71" t="s">
        <v>103</v>
      </c>
      <c r="B254" s="29"/>
      <c r="C254" s="16">
        <f t="shared" si="19"/>
        <v>0.6585507164996977</v>
      </c>
      <c r="D254" s="16">
        <f t="shared" si="19"/>
        <v>0</v>
      </c>
      <c r="E254" s="16">
        <f t="shared" si="19"/>
        <v>0</v>
      </c>
      <c r="F254" s="48">
        <f t="shared" si="19"/>
        <v>0</v>
      </c>
    </row>
    <row r="255" spans="1:6" ht="21">
      <c r="A255" s="71" t="s">
        <v>120</v>
      </c>
      <c r="B255" s="29"/>
      <c r="C255" s="16">
        <f t="shared" si="19"/>
        <v>0.04311103908440803</v>
      </c>
      <c r="D255" s="16">
        <f t="shared" si="19"/>
        <v>0</v>
      </c>
      <c r="E255" s="16">
        <f t="shared" si="19"/>
        <v>0</v>
      </c>
      <c r="F255" s="48">
        <f t="shared" si="19"/>
        <v>0</v>
      </c>
    </row>
    <row r="256" spans="1:6" ht="21">
      <c r="A256" s="71" t="s">
        <v>29</v>
      </c>
      <c r="B256" s="29"/>
      <c r="C256" s="16">
        <f t="shared" si="19"/>
        <v>0</v>
      </c>
      <c r="D256" s="16">
        <f t="shared" si="19"/>
        <v>0</v>
      </c>
      <c r="E256" s="16">
        <f t="shared" si="19"/>
        <v>0</v>
      </c>
      <c r="F256" s="48">
        <f t="shared" si="19"/>
        <v>0</v>
      </c>
    </row>
    <row r="257" spans="1:6" ht="21">
      <c r="A257" s="72" t="s">
        <v>12</v>
      </c>
      <c r="B257" s="2"/>
      <c r="C257" s="30">
        <f>SUM(C251:C256)</f>
        <v>1</v>
      </c>
      <c r="D257" s="30">
        <f>SUM(D251:D256)</f>
        <v>1</v>
      </c>
      <c r="E257" s="30">
        <f>SUM(E251:E256)</f>
        <v>1</v>
      </c>
      <c r="F257" s="57">
        <f>SUM(F251:F256)</f>
        <v>1</v>
      </c>
    </row>
    <row r="258" spans="1:6" ht="21">
      <c r="A258" s="72"/>
      <c r="B258" s="2"/>
      <c r="C258" s="2"/>
      <c r="D258" s="2"/>
      <c r="E258" s="2"/>
      <c r="F258" s="51"/>
    </row>
    <row r="259" spans="1:6" ht="21">
      <c r="A259" s="71" t="s">
        <v>122</v>
      </c>
      <c r="B259" s="2"/>
      <c r="C259" s="16">
        <f aca="true" t="shared" si="20" ref="C259:F267">C239/C$247</f>
        <v>0.6584064754345231</v>
      </c>
      <c r="D259" s="16">
        <f t="shared" si="20"/>
        <v>0</v>
      </c>
      <c r="E259" s="16">
        <f t="shared" si="20"/>
        <v>0</v>
      </c>
      <c r="F259" s="48">
        <f t="shared" si="20"/>
        <v>0</v>
      </c>
    </row>
    <row r="260" spans="1:6" ht="21">
      <c r="A260" s="71" t="s">
        <v>96</v>
      </c>
      <c r="B260" s="1"/>
      <c r="C260" s="16">
        <f t="shared" si="20"/>
        <v>0.31924628464063254</v>
      </c>
      <c r="D260" s="16">
        <f t="shared" si="20"/>
        <v>0.9345794392523366</v>
      </c>
      <c r="E260" s="16">
        <f t="shared" si="20"/>
        <v>0.9345794392523364</v>
      </c>
      <c r="F260" s="48">
        <f t="shared" si="20"/>
        <v>0.9345794392523366</v>
      </c>
    </row>
    <row r="261" spans="1:6" ht="21">
      <c r="A261" s="71" t="s">
        <v>123</v>
      </c>
      <c r="B261" s="1"/>
      <c r="C261" s="16">
        <f t="shared" si="20"/>
        <v>0.01596231423203163</v>
      </c>
      <c r="D261" s="16">
        <f t="shared" si="20"/>
        <v>0.04672897196261683</v>
      </c>
      <c r="E261" s="16">
        <f t="shared" si="20"/>
        <v>0.04672897196261683</v>
      </c>
      <c r="F261" s="48">
        <f t="shared" si="20"/>
        <v>0.04672897196261683</v>
      </c>
    </row>
    <row r="262" spans="1:6" ht="21">
      <c r="A262" s="71" t="s">
        <v>14</v>
      </c>
      <c r="B262" s="1"/>
      <c r="C262" s="16">
        <f t="shared" si="20"/>
        <v>0</v>
      </c>
      <c r="D262" s="16">
        <f t="shared" si="20"/>
        <v>0</v>
      </c>
      <c r="E262" s="16">
        <f t="shared" si="20"/>
        <v>0</v>
      </c>
      <c r="F262" s="48">
        <f t="shared" si="20"/>
        <v>0</v>
      </c>
    </row>
    <row r="263" spans="1:6" ht="21">
      <c r="A263" s="71" t="s">
        <v>15</v>
      </c>
      <c r="B263" s="1"/>
      <c r="C263" s="16">
        <f t="shared" si="20"/>
        <v>0.006384925692812651</v>
      </c>
      <c r="D263" s="16">
        <f t="shared" si="20"/>
        <v>0.01869158878504673</v>
      </c>
      <c r="E263" s="16">
        <f t="shared" si="20"/>
        <v>0.01869158878504673</v>
      </c>
      <c r="F263" s="48">
        <f t="shared" si="20"/>
        <v>0.01869158878504673</v>
      </c>
    </row>
    <row r="264" spans="1:6" ht="21">
      <c r="A264" s="71" t="s">
        <v>59</v>
      </c>
      <c r="B264" s="1"/>
      <c r="C264" s="16">
        <f t="shared" si="20"/>
        <v>0</v>
      </c>
      <c r="D264" s="16">
        <f t="shared" si="20"/>
        <v>0</v>
      </c>
      <c r="E264" s="16">
        <f t="shared" si="20"/>
        <v>0</v>
      </c>
      <c r="F264" s="48">
        <f t="shared" si="20"/>
        <v>0</v>
      </c>
    </row>
    <row r="265" spans="1:6" ht="21">
      <c r="A265" s="71" t="s">
        <v>60</v>
      </c>
      <c r="B265" s="1"/>
      <c r="C265" s="16">
        <f t="shared" si="20"/>
        <v>0</v>
      </c>
      <c r="D265" s="16">
        <f t="shared" si="20"/>
        <v>0</v>
      </c>
      <c r="E265" s="16">
        <f t="shared" si="20"/>
        <v>0</v>
      </c>
      <c r="F265" s="48">
        <f t="shared" si="20"/>
        <v>0</v>
      </c>
    </row>
    <row r="266" spans="1:6" ht="21">
      <c r="A266" s="71" t="s">
        <v>61</v>
      </c>
      <c r="B266" s="1"/>
      <c r="C266" s="16">
        <f t="shared" si="20"/>
        <v>0</v>
      </c>
      <c r="D266" s="16">
        <f t="shared" si="20"/>
        <v>0</v>
      </c>
      <c r="E266" s="16">
        <f t="shared" si="20"/>
        <v>0</v>
      </c>
      <c r="F266" s="48">
        <f t="shared" si="20"/>
        <v>0</v>
      </c>
    </row>
    <row r="267" spans="1:6" ht="21">
      <c r="A267" s="72" t="s">
        <v>13</v>
      </c>
      <c r="B267" s="2"/>
      <c r="C267" s="20">
        <f t="shared" si="20"/>
        <v>1</v>
      </c>
      <c r="D267" s="20">
        <f t="shared" si="20"/>
        <v>1</v>
      </c>
      <c r="E267" s="20">
        <f t="shared" si="20"/>
        <v>1</v>
      </c>
      <c r="F267" s="52">
        <f t="shared" si="20"/>
        <v>1</v>
      </c>
    </row>
    <row r="268" spans="1:6" ht="21.75" thickBot="1">
      <c r="A268" s="79" t="s">
        <v>21</v>
      </c>
      <c r="B268" s="58"/>
      <c r="C268" s="59">
        <f>C248/C247</f>
        <v>-0.00021902802860978668</v>
      </c>
      <c r="D268" s="59">
        <f>D248/D247</f>
        <v>0.2134406434649316</v>
      </c>
      <c r="E268" s="59">
        <f>E248/E247</f>
        <v>1.5473323675751212</v>
      </c>
      <c r="F268" s="60">
        <f>F248/F247</f>
        <v>18.925265734684746</v>
      </c>
    </row>
    <row r="269" ht="21.75" thickTop="1">
      <c r="A269" s="80"/>
    </row>
    <row r="270" ht="21">
      <c r="A270" s="80"/>
    </row>
    <row r="271" ht="21">
      <c r="A271" s="80"/>
    </row>
    <row r="272" ht="21">
      <c r="A272" s="80"/>
    </row>
    <row r="273" ht="21">
      <c r="A273" s="80"/>
    </row>
    <row r="274" ht="21">
      <c r="A274" s="80"/>
    </row>
    <row r="275" ht="21">
      <c r="A275" s="80"/>
    </row>
    <row r="276" ht="21">
      <c r="A276" s="80"/>
    </row>
    <row r="277" ht="21">
      <c r="A277" s="80"/>
    </row>
    <row r="278" ht="21">
      <c r="A278" s="80"/>
    </row>
    <row r="279" ht="21">
      <c r="A279" s="80"/>
    </row>
    <row r="280" ht="21">
      <c r="A280" s="80"/>
    </row>
    <row r="281" ht="21">
      <c r="A281" s="80"/>
    </row>
    <row r="282" ht="21">
      <c r="A282" s="80"/>
    </row>
    <row r="283" ht="21">
      <c r="A283" s="80"/>
    </row>
    <row r="284" ht="21">
      <c r="A284" s="80"/>
    </row>
    <row r="285" ht="21">
      <c r="A285" s="80"/>
    </row>
    <row r="286" ht="21">
      <c r="A286" s="80"/>
    </row>
    <row r="287" ht="21">
      <c r="A287" s="80"/>
    </row>
    <row r="288" ht="21">
      <c r="A288" s="80"/>
    </row>
    <row r="289" ht="21">
      <c r="A289" s="80"/>
    </row>
    <row r="290" ht="21">
      <c r="A290" s="80"/>
    </row>
    <row r="291" ht="21">
      <c r="A291" s="80"/>
    </row>
    <row r="292" ht="21">
      <c r="A292" s="80"/>
    </row>
    <row r="293" ht="21">
      <c r="A293" s="80"/>
    </row>
    <row r="294" ht="21">
      <c r="A294" s="80"/>
    </row>
    <row r="295" ht="21">
      <c r="A295" s="80"/>
    </row>
    <row r="296" ht="21">
      <c r="A296" s="80"/>
    </row>
    <row r="297" ht="21">
      <c r="A297" s="80"/>
    </row>
    <row r="298" ht="21">
      <c r="A298" s="80"/>
    </row>
    <row r="299" ht="21">
      <c r="A299" s="80"/>
    </row>
    <row r="300" ht="21">
      <c r="A300" s="80"/>
    </row>
    <row r="301" ht="21">
      <c r="A301" s="80"/>
    </row>
    <row r="302" ht="21">
      <c r="A302" s="80"/>
    </row>
    <row r="303" ht="21">
      <c r="A303" s="80"/>
    </row>
    <row r="304" ht="21">
      <c r="A304" s="80"/>
    </row>
    <row r="305" ht="21">
      <c r="A305" s="80"/>
    </row>
    <row r="306" ht="21">
      <c r="A306" s="80"/>
    </row>
    <row r="307" ht="21">
      <c r="A307" s="80"/>
    </row>
    <row r="308" ht="21">
      <c r="A308" s="80"/>
    </row>
    <row r="309" ht="21">
      <c r="A309" s="80"/>
    </row>
    <row r="310" ht="21">
      <c r="A310" s="80"/>
    </row>
    <row r="311" ht="21">
      <c r="A311" s="80"/>
    </row>
    <row r="312" ht="21">
      <c r="A312" s="80"/>
    </row>
    <row r="313" ht="21">
      <c r="A313" s="80"/>
    </row>
    <row r="314" ht="21">
      <c r="A314" s="80"/>
    </row>
    <row r="315" ht="21">
      <c r="A315" s="80"/>
    </row>
    <row r="316" ht="21">
      <c r="A316" s="80"/>
    </row>
    <row r="317" ht="21">
      <c r="A317" s="80"/>
    </row>
    <row r="318" ht="21">
      <c r="A318" s="80"/>
    </row>
    <row r="319" ht="21">
      <c r="A319" s="80"/>
    </row>
    <row r="320" ht="21">
      <c r="A320" s="80"/>
    </row>
    <row r="321" ht="21">
      <c r="A321" s="80"/>
    </row>
    <row r="322" ht="21">
      <c r="A322" s="80"/>
    </row>
    <row r="323" ht="21">
      <c r="A323" s="80"/>
    </row>
    <row r="324" ht="21">
      <c r="A324" s="80"/>
    </row>
    <row r="325" ht="21">
      <c r="A325" s="80"/>
    </row>
    <row r="326" ht="21">
      <c r="A326" s="80"/>
    </row>
    <row r="327" ht="21">
      <c r="A327" s="80"/>
    </row>
  </sheetData>
  <mergeCells count="11">
    <mergeCell ref="A11:B11"/>
    <mergeCell ref="A2:F2"/>
    <mergeCell ref="A3:F3"/>
    <mergeCell ref="A4:F4"/>
    <mergeCell ref="A5:F5"/>
    <mergeCell ref="A6:F6"/>
    <mergeCell ref="A7:F7"/>
    <mergeCell ref="A10:F10"/>
    <mergeCell ref="A9:F9"/>
    <mergeCell ref="A8:F8"/>
    <mergeCell ref="A1:F1"/>
  </mergeCells>
  <conditionalFormatting sqref="C189:F189 C187:F187">
    <cfRule type="cellIs" priority="1" dxfId="0" operator="lessThan" stopIfTrue="1">
      <formula>0</formula>
    </cfRule>
  </conditionalFormatting>
  <conditionalFormatting sqref="C188:F188">
    <cfRule type="cellIs" priority="2" dxfId="1" operator="lessThan" stopIfTrue="1">
      <formula>0</formula>
    </cfRule>
  </conditionalFormatting>
  <printOptions gridLines="1" horizontalCentered="1" verticalCentered="1"/>
  <pageMargins left="0.5" right="0.5" top="0.75" bottom="0.62" header="0.35" footer="0.35"/>
  <pageSetup horizontalDpi="600" verticalDpi="600" orientation="portrait" paperSize="9" r:id="rId1"/>
  <headerFooter alignWithMargins="0">
    <oddHeader>&amp;L&amp;"B Kamran,Regular"&amp;14شركت سرمايه‌گذاري ساختمان و صنعت</oddHeader>
    <oddFooter>&amp;R&amp;"B Kamran,Regular"&amp;12صفحة &amp;P از &amp;N صفحه</oddFooter>
  </headerFooter>
</worksheet>
</file>

<file path=xl/worksheets/sheet4.xml><?xml version="1.0" encoding="utf-8"?>
<worksheet xmlns="http://schemas.openxmlformats.org/spreadsheetml/2006/main" xmlns:r="http://schemas.openxmlformats.org/officeDocument/2006/relationships">
  <sheetPr>
    <tabColor indexed="13"/>
  </sheetPr>
  <dimension ref="A1:K327"/>
  <sheetViews>
    <sheetView rightToLeft="1" tabSelected="1" workbookViewId="0" topLeftCell="A11">
      <pane ySplit="5745" topLeftCell="BM222" activePane="bottomLeft" state="split"/>
      <selection pane="topLeft" activeCell="A11" sqref="A11:B11"/>
      <selection pane="bottomLeft" activeCell="A11" sqref="A11:B11"/>
    </sheetView>
  </sheetViews>
  <sheetFormatPr defaultColWidth="9.140625" defaultRowHeight="12.75"/>
  <cols>
    <col min="1" max="1" width="42.00390625" style="67" customWidth="1"/>
    <col min="2" max="2" width="10.28125" style="23" bestFit="1" customWidth="1"/>
    <col min="3" max="3" width="10.7109375" style="13" customWidth="1"/>
    <col min="4" max="4" width="10.57421875" style="13" bestFit="1" customWidth="1"/>
    <col min="5" max="5" width="10.28125" style="13" bestFit="1" customWidth="1"/>
    <col min="6" max="6" width="10.57421875" style="13" bestFit="1" customWidth="1"/>
    <col min="7" max="16384" width="9.140625" style="13" customWidth="1"/>
  </cols>
  <sheetData>
    <row r="1" spans="1:11" s="62" customFormat="1" ht="35.25" customHeight="1" thickBot="1" thickTop="1">
      <c r="A1" s="84" t="s">
        <v>117</v>
      </c>
      <c r="B1" s="85"/>
      <c r="C1" s="85"/>
      <c r="D1" s="85"/>
      <c r="E1" s="85"/>
      <c r="F1" s="86"/>
      <c r="G1" s="61"/>
      <c r="H1" s="61"/>
      <c r="I1" s="61"/>
      <c r="J1" s="61"/>
      <c r="K1" s="61"/>
    </row>
    <row r="2" spans="1:11" s="63" customFormat="1" ht="32.25" customHeight="1" thickTop="1">
      <c r="A2" s="89" t="s">
        <v>153</v>
      </c>
      <c r="B2" s="90"/>
      <c r="C2" s="90"/>
      <c r="D2" s="90"/>
      <c r="E2" s="90"/>
      <c r="F2" s="90"/>
      <c r="G2" s="61"/>
      <c r="H2" s="61"/>
      <c r="I2" s="61"/>
      <c r="J2" s="61"/>
      <c r="K2" s="61"/>
    </row>
    <row r="3" spans="1:11" s="63" customFormat="1" ht="47.25" customHeight="1">
      <c r="A3" s="83" t="s">
        <v>156</v>
      </c>
      <c r="B3" s="83"/>
      <c r="C3" s="83"/>
      <c r="D3" s="83"/>
      <c r="E3" s="83"/>
      <c r="F3" s="83"/>
      <c r="G3" s="61"/>
      <c r="H3" s="61"/>
      <c r="I3" s="61"/>
      <c r="J3" s="61"/>
      <c r="K3" s="61"/>
    </row>
    <row r="4" spans="1:11" s="63" customFormat="1" ht="22.5" customHeight="1">
      <c r="A4" s="83" t="s">
        <v>157</v>
      </c>
      <c r="B4" s="83"/>
      <c r="C4" s="83"/>
      <c r="D4" s="83"/>
      <c r="E4" s="83"/>
      <c r="F4" s="83"/>
      <c r="G4" s="61"/>
      <c r="H4" s="61"/>
      <c r="I4" s="61"/>
      <c r="J4" s="61"/>
      <c r="K4" s="61"/>
    </row>
    <row r="5" spans="1:11" s="63" customFormat="1" ht="48.75" customHeight="1">
      <c r="A5" s="83" t="s">
        <v>158</v>
      </c>
      <c r="B5" s="83"/>
      <c r="C5" s="83"/>
      <c r="D5" s="83"/>
      <c r="E5" s="83"/>
      <c r="F5" s="83"/>
      <c r="G5" s="61"/>
      <c r="H5" s="61"/>
      <c r="I5" s="61"/>
      <c r="J5" s="61"/>
      <c r="K5" s="61"/>
    </row>
    <row r="6" spans="1:11" s="63" customFormat="1" ht="21" customHeight="1">
      <c r="A6" s="83" t="s">
        <v>159</v>
      </c>
      <c r="B6" s="83"/>
      <c r="C6" s="83"/>
      <c r="D6" s="83"/>
      <c r="E6" s="83"/>
      <c r="F6" s="83"/>
      <c r="G6" s="61"/>
      <c r="H6" s="61"/>
      <c r="I6" s="61"/>
      <c r="J6" s="61"/>
      <c r="K6" s="61"/>
    </row>
    <row r="7" spans="1:11" s="63" customFormat="1" ht="22.5" customHeight="1">
      <c r="A7" s="83" t="s">
        <v>160</v>
      </c>
      <c r="B7" s="83"/>
      <c r="C7" s="83"/>
      <c r="D7" s="83"/>
      <c r="E7" s="83"/>
      <c r="F7" s="83"/>
      <c r="G7" s="61"/>
      <c r="H7" s="61"/>
      <c r="I7" s="61"/>
      <c r="J7" s="61"/>
      <c r="K7" s="61"/>
    </row>
    <row r="8" spans="1:11" s="63" customFormat="1" ht="22.5" customHeight="1">
      <c r="A8" s="83" t="s">
        <v>161</v>
      </c>
      <c r="B8" s="83"/>
      <c r="C8" s="83"/>
      <c r="D8" s="83"/>
      <c r="E8" s="83"/>
      <c r="F8" s="83"/>
      <c r="G8" s="61"/>
      <c r="H8" s="61"/>
      <c r="I8" s="61"/>
      <c r="J8" s="61"/>
      <c r="K8" s="61"/>
    </row>
    <row r="9" spans="1:11" s="63" customFormat="1" ht="22.5" customHeight="1">
      <c r="A9" s="83" t="s">
        <v>155</v>
      </c>
      <c r="B9" s="83"/>
      <c r="C9" s="83"/>
      <c r="D9" s="83"/>
      <c r="E9" s="83"/>
      <c r="F9" s="83"/>
      <c r="G9" s="61"/>
      <c r="H9" s="61"/>
      <c r="I9" s="61"/>
      <c r="J9" s="61"/>
      <c r="K9" s="61"/>
    </row>
    <row r="10" spans="1:11" s="63" customFormat="1" ht="137.25" customHeight="1" thickBot="1">
      <c r="A10" s="82" t="s">
        <v>154</v>
      </c>
      <c r="B10" s="82"/>
      <c r="C10" s="82"/>
      <c r="D10" s="82"/>
      <c r="E10" s="82"/>
      <c r="F10" s="82"/>
      <c r="G10" s="61"/>
      <c r="H10" s="61"/>
      <c r="I10" s="61"/>
      <c r="J10" s="61"/>
      <c r="K10" s="61"/>
    </row>
    <row r="11" spans="1:6" s="43" customFormat="1" ht="30" thickBot="1" thickTop="1">
      <c r="A11" s="87" t="s">
        <v>168</v>
      </c>
      <c r="B11" s="88"/>
      <c r="C11" s="68" t="s">
        <v>113</v>
      </c>
      <c r="D11" s="68" t="s">
        <v>114</v>
      </c>
      <c r="E11" s="68" t="s">
        <v>115</v>
      </c>
      <c r="F11" s="69" t="s">
        <v>116</v>
      </c>
    </row>
    <row r="12" spans="1:6" s="15" customFormat="1" ht="21.75" thickTop="1">
      <c r="A12" s="64" t="s">
        <v>1</v>
      </c>
      <c r="B12" s="26"/>
      <c r="C12" s="14"/>
      <c r="D12" s="14"/>
      <c r="E12" s="14"/>
      <c r="F12" s="47"/>
    </row>
    <row r="13" spans="1:6" s="17" customFormat="1" ht="21">
      <c r="A13" s="70" t="s">
        <v>2</v>
      </c>
      <c r="B13" s="16"/>
      <c r="C13" s="16">
        <v>0.16</v>
      </c>
      <c r="D13" s="16">
        <v>0.16</v>
      </c>
      <c r="E13" s="16">
        <v>0.16</v>
      </c>
      <c r="F13" s="48">
        <v>0.16</v>
      </c>
    </row>
    <row r="14" spans="1:6" s="17" customFormat="1" ht="21">
      <c r="A14" s="70" t="s">
        <v>90</v>
      </c>
      <c r="B14" s="16"/>
      <c r="C14" s="16">
        <v>0.22</v>
      </c>
      <c r="D14" s="16">
        <v>0.22</v>
      </c>
      <c r="E14" s="16">
        <v>0.22</v>
      </c>
      <c r="F14" s="48">
        <v>0.22</v>
      </c>
    </row>
    <row r="15" spans="1:6" s="4" customFormat="1" ht="21">
      <c r="A15" s="71" t="s">
        <v>68</v>
      </c>
      <c r="B15" s="1">
        <v>45000</v>
      </c>
      <c r="D15" s="1" t="s">
        <v>0</v>
      </c>
      <c r="E15" s="1" t="s">
        <v>0</v>
      </c>
      <c r="F15" s="49" t="s">
        <v>0</v>
      </c>
    </row>
    <row r="16" spans="1:6" s="4" customFormat="1" ht="21">
      <c r="A16" s="71" t="s">
        <v>67</v>
      </c>
      <c r="B16" s="1">
        <v>54000</v>
      </c>
      <c r="C16" s="1"/>
      <c r="D16" s="1"/>
      <c r="E16" s="1"/>
      <c r="F16" s="49"/>
    </row>
    <row r="17" spans="1:6" s="4" customFormat="1" ht="21">
      <c r="A17" s="71" t="s">
        <v>66</v>
      </c>
      <c r="B17" s="1">
        <v>106000</v>
      </c>
      <c r="C17" s="1"/>
      <c r="D17" s="1"/>
      <c r="E17" s="1"/>
      <c r="F17" s="49"/>
    </row>
    <row r="18" spans="1:6" s="4" customFormat="1" ht="21">
      <c r="A18" s="71" t="s">
        <v>69</v>
      </c>
      <c r="B18" s="1">
        <f>B16+B17</f>
        <v>160000</v>
      </c>
      <c r="C18" s="1"/>
      <c r="D18" s="1"/>
      <c r="E18" s="1"/>
      <c r="F18" s="49"/>
    </row>
    <row r="19" spans="1:6" s="4" customFormat="1" ht="21">
      <c r="A19" s="71" t="s">
        <v>124</v>
      </c>
      <c r="B19" s="24">
        <v>28.918561110005825</v>
      </c>
      <c r="C19" s="1"/>
      <c r="D19" s="1"/>
      <c r="E19" s="1"/>
      <c r="F19" s="49"/>
    </row>
    <row r="20" spans="1:6" s="4" customFormat="1" ht="21">
      <c r="A20" s="71" t="s">
        <v>70</v>
      </c>
      <c r="B20" s="1">
        <f>B19*B15</f>
        <v>1301335.2499502623</v>
      </c>
      <c r="C20" s="1"/>
      <c r="D20" s="1"/>
      <c r="E20" s="1"/>
      <c r="F20" s="49"/>
    </row>
    <row r="21" spans="1:6" s="4" customFormat="1" ht="21">
      <c r="A21" s="71" t="s">
        <v>99</v>
      </c>
      <c r="B21" s="1">
        <f>SUM(C21:F21)</f>
        <v>36000</v>
      </c>
      <c r="C21" s="1">
        <f>4*C22</f>
        <v>36000</v>
      </c>
      <c r="D21" s="1">
        <v>0</v>
      </c>
      <c r="E21" s="1">
        <v>0</v>
      </c>
      <c r="F21" s="49">
        <v>0</v>
      </c>
    </row>
    <row r="22" spans="1:6" s="4" customFormat="1" ht="21">
      <c r="A22" s="71" t="s">
        <v>104</v>
      </c>
      <c r="B22" s="1">
        <f>SUM(C22:F22)</f>
        <v>9000</v>
      </c>
      <c r="C22" s="1">
        <v>9000</v>
      </c>
      <c r="D22" s="1">
        <v>0</v>
      </c>
      <c r="E22" s="1">
        <v>0</v>
      </c>
      <c r="F22" s="49">
        <v>0</v>
      </c>
    </row>
    <row r="23" spans="1:6" s="4" customFormat="1" ht="21">
      <c r="A23" s="71"/>
      <c r="B23" s="1"/>
      <c r="C23" s="1"/>
      <c r="D23" s="1"/>
      <c r="E23" s="1"/>
      <c r="F23" s="49"/>
    </row>
    <row r="24" spans="1:6" s="19" customFormat="1" ht="21">
      <c r="A24" s="71" t="s">
        <v>92</v>
      </c>
      <c r="B24" s="20">
        <f>SUM(C24:F24)</f>
        <v>1</v>
      </c>
      <c r="C24" s="16">
        <v>0.15</v>
      </c>
      <c r="D24" s="41">
        <v>0.2</v>
      </c>
      <c r="E24" s="41">
        <v>0.25</v>
      </c>
      <c r="F24" s="48">
        <v>0.4</v>
      </c>
    </row>
    <row r="25" spans="1:6" s="19" customFormat="1" ht="21">
      <c r="A25" s="71" t="s">
        <v>141</v>
      </c>
      <c r="B25" s="20">
        <f>SUM(C25:F25)</f>
        <v>0.9999999999999999</v>
      </c>
      <c r="C25" s="16">
        <f>C170</f>
        <v>0.7166710224892938</v>
      </c>
      <c r="D25" s="16">
        <f>D170</f>
        <v>0.14415417496428434</v>
      </c>
      <c r="E25" s="16">
        <f>E170</f>
        <v>0.10794796096927496</v>
      </c>
      <c r="F25" s="48">
        <f>F170</f>
        <v>0.03122684157714687</v>
      </c>
    </row>
    <row r="26" spans="1:6" s="4" customFormat="1" ht="21">
      <c r="A26" s="71" t="s">
        <v>151</v>
      </c>
      <c r="B26" s="24">
        <v>8.7</v>
      </c>
      <c r="C26" s="24">
        <f>(1+C13)*B26</f>
        <v>10.091999999999999</v>
      </c>
      <c r="D26" s="24">
        <f>(1+D13)*C26</f>
        <v>11.706719999999997</v>
      </c>
      <c r="E26" s="24">
        <f>(1+E13)*D26</f>
        <v>13.579795199999996</v>
      </c>
      <c r="F26" s="50">
        <f>(1+F13)*E26</f>
        <v>15.752562431999994</v>
      </c>
    </row>
    <row r="27" spans="1:6" s="4" customFormat="1" ht="21">
      <c r="A27" s="71" t="s">
        <v>143</v>
      </c>
      <c r="B27" s="2">
        <f>SUM(C27:F27)</f>
        <v>160000</v>
      </c>
      <c r="C27" s="1">
        <f>C24*$B$18</f>
        <v>24000</v>
      </c>
      <c r="D27" s="1">
        <f>D24*$B$18</f>
        <v>32000</v>
      </c>
      <c r="E27" s="1">
        <f>E24*$B$18</f>
        <v>40000</v>
      </c>
      <c r="F27" s="49">
        <f>F24*$B$18</f>
        <v>64000</v>
      </c>
    </row>
    <row r="28" spans="1:6" s="4" customFormat="1" ht="21">
      <c r="A28" s="71" t="s">
        <v>144</v>
      </c>
      <c r="B28" s="2">
        <f>SUM(C28:F28)</f>
        <v>2168178.843647999</v>
      </c>
      <c r="C28" s="1">
        <f>C27*C26</f>
        <v>242207.99999999997</v>
      </c>
      <c r="D28" s="1">
        <f>D27*D26</f>
        <v>374615.0399999999</v>
      </c>
      <c r="E28" s="1">
        <f>E27*E26</f>
        <v>543191.8079999998</v>
      </c>
      <c r="F28" s="49">
        <f>F27*F26</f>
        <v>1008163.9956479996</v>
      </c>
    </row>
    <row r="29" spans="1:6" s="4" customFormat="1" ht="21">
      <c r="A29" s="71"/>
      <c r="B29" s="2"/>
      <c r="C29" s="1"/>
      <c r="D29" s="1"/>
      <c r="E29" s="1"/>
      <c r="F29" s="49"/>
    </row>
    <row r="30" spans="1:6" s="4" customFormat="1" ht="21">
      <c r="A30" s="64" t="s">
        <v>148</v>
      </c>
      <c r="B30" s="2"/>
      <c r="C30" s="1"/>
      <c r="D30" s="1"/>
      <c r="E30" s="1"/>
      <c r="F30" s="49"/>
    </row>
    <row r="31" spans="1:6" s="19" customFormat="1" ht="21">
      <c r="A31" s="71" t="s">
        <v>142</v>
      </c>
      <c r="B31" s="2">
        <f>SUM(C31:F31)</f>
        <v>242208</v>
      </c>
      <c r="C31" s="1">
        <f>$C$28*C25</f>
        <v>173583.45501508686</v>
      </c>
      <c r="D31" s="1">
        <f>$C$28*D25</f>
        <v>34915.294409749375</v>
      </c>
      <c r="E31" s="1">
        <f>$C$28*E25</f>
        <v>26145.859730446147</v>
      </c>
      <c r="F31" s="49">
        <f>$C$28*F25</f>
        <v>7563.390844717588</v>
      </c>
    </row>
    <row r="32" spans="1:6" s="19" customFormat="1" ht="21">
      <c r="A32" s="71" t="s">
        <v>145</v>
      </c>
      <c r="B32" s="2">
        <f>SUM(C32:F32)</f>
        <v>374615.0399999999</v>
      </c>
      <c r="C32" s="1">
        <v>0</v>
      </c>
      <c r="D32" s="1">
        <f>$D$28*(D25+C25)</f>
        <v>322478.06577708</v>
      </c>
      <c r="E32" s="1">
        <f>$D$28*E25</f>
        <v>40438.92971642337</v>
      </c>
      <c r="F32" s="49">
        <f>$D$28*F25</f>
        <v>11698.044506496535</v>
      </c>
    </row>
    <row r="33" spans="1:6" s="19" customFormat="1" ht="21">
      <c r="A33" s="71" t="s">
        <v>146</v>
      </c>
      <c r="B33" s="2">
        <f>SUM(C33:F33)</f>
        <v>543191.8079999998</v>
      </c>
      <c r="C33" s="1">
        <v>0</v>
      </c>
      <c r="D33" s="1">
        <v>0</v>
      </c>
      <c r="E33" s="1">
        <f>$E$28*(E25+D25+C25)</f>
        <v>526229.6434655798</v>
      </c>
      <c r="F33" s="49">
        <f>$E$28*F25</f>
        <v>16962.164534419975</v>
      </c>
    </row>
    <row r="34" spans="1:6" s="19" customFormat="1" ht="21">
      <c r="A34" s="71" t="s">
        <v>147</v>
      </c>
      <c r="B34" s="2">
        <f>SUM(C34:F34)</f>
        <v>1008163.9956479996</v>
      </c>
      <c r="C34" s="1">
        <v>0</v>
      </c>
      <c r="D34" s="1">
        <v>0</v>
      </c>
      <c r="E34" s="1"/>
      <c r="F34" s="49">
        <f>$F$28*(F25+E25+D25+C25)</f>
        <v>1008163.9956479996</v>
      </c>
    </row>
    <row r="35" spans="1:6" s="19" customFormat="1" ht="21">
      <c r="A35" s="71"/>
      <c r="B35" s="2">
        <f>SUM(C35:F35)</f>
        <v>2168178.843647999</v>
      </c>
      <c r="C35" s="2">
        <f>SUM(C31:C34)</f>
        <v>173583.45501508686</v>
      </c>
      <c r="D35" s="2">
        <f>SUM(D31:D34)</f>
        <v>357393.3601868294</v>
      </c>
      <c r="E35" s="2">
        <f>SUM(E31:E34)</f>
        <v>592814.4329124494</v>
      </c>
      <c r="F35" s="51">
        <f>SUM(F31:F34)</f>
        <v>1044387.5955336337</v>
      </c>
    </row>
    <row r="36" spans="1:6" s="19" customFormat="1" ht="21">
      <c r="A36" s="71"/>
      <c r="B36" s="2"/>
      <c r="C36" s="2"/>
      <c r="D36" s="2"/>
      <c r="E36" s="2"/>
      <c r="F36" s="51"/>
    </row>
    <row r="37" spans="1:6" s="4" customFormat="1" ht="21">
      <c r="A37" s="64" t="s">
        <v>149</v>
      </c>
      <c r="B37" s="2"/>
      <c r="C37" s="1"/>
      <c r="D37" s="1"/>
      <c r="E37" s="1"/>
      <c r="F37" s="49"/>
    </row>
    <row r="38" spans="1:6" s="19" customFormat="1" ht="21">
      <c r="A38" s="71" t="s">
        <v>142</v>
      </c>
      <c r="B38" s="20">
        <f>SUM(C38:F38)</f>
        <v>0.1117103419349304</v>
      </c>
      <c r="C38" s="16">
        <f aca="true" t="shared" si="0" ref="C38:F42">C31/$B$35</f>
        <v>0.0800595649771352</v>
      </c>
      <c r="D38" s="16">
        <f t="shared" si="0"/>
        <v>0.016103512176607986</v>
      </c>
      <c r="E38" s="16">
        <f t="shared" si="0"/>
        <v>0.012058903631056226</v>
      </c>
      <c r="F38" s="48">
        <f t="shared" si="0"/>
        <v>0.0034883611501309777</v>
      </c>
    </row>
    <row r="39" spans="1:6" s="19" customFormat="1" ht="21">
      <c r="A39" s="71" t="s">
        <v>145</v>
      </c>
      <c r="B39" s="20">
        <f>SUM(C39:F39)</f>
        <v>0.1727786621926923</v>
      </c>
      <c r="C39" s="16">
        <f t="shared" si="0"/>
        <v>0</v>
      </c>
      <c r="D39" s="16">
        <f t="shared" si="0"/>
        <v>0.14873222599778946</v>
      </c>
      <c r="E39" s="16">
        <f t="shared" si="0"/>
        <v>0.018651104282700295</v>
      </c>
      <c r="F39" s="48">
        <f t="shared" si="0"/>
        <v>0.005395331912202579</v>
      </c>
    </row>
    <row r="40" spans="1:6" s="19" customFormat="1" ht="21">
      <c r="A40" s="71" t="s">
        <v>146</v>
      </c>
      <c r="B40" s="20">
        <f>SUM(C40:F40)</f>
        <v>0.25052906017940385</v>
      </c>
      <c r="C40" s="16">
        <f t="shared" si="0"/>
        <v>0</v>
      </c>
      <c r="D40" s="16">
        <f t="shared" si="0"/>
        <v>0</v>
      </c>
      <c r="E40" s="16">
        <f t="shared" si="0"/>
        <v>0.2427058289067101</v>
      </c>
      <c r="F40" s="48">
        <f t="shared" si="0"/>
        <v>0.007823231272693739</v>
      </c>
    </row>
    <row r="41" spans="1:6" s="19" customFormat="1" ht="21">
      <c r="A41" s="71" t="s">
        <v>147</v>
      </c>
      <c r="B41" s="20">
        <f>SUM(C41:F41)</f>
        <v>0.46498193569297347</v>
      </c>
      <c r="C41" s="16">
        <f t="shared" si="0"/>
        <v>0</v>
      </c>
      <c r="D41" s="16">
        <f t="shared" si="0"/>
        <v>0</v>
      </c>
      <c r="E41" s="16">
        <f t="shared" si="0"/>
        <v>0</v>
      </c>
      <c r="F41" s="48">
        <f t="shared" si="0"/>
        <v>0.46498193569297347</v>
      </c>
    </row>
    <row r="42" spans="1:6" s="19" customFormat="1" ht="21">
      <c r="A42" s="72"/>
      <c r="B42" s="20">
        <f>SUM(C42:F42)</f>
        <v>1</v>
      </c>
      <c r="C42" s="20">
        <f t="shared" si="0"/>
        <v>0.0800595649771352</v>
      </c>
      <c r="D42" s="20">
        <f t="shared" si="0"/>
        <v>0.16483573817439745</v>
      </c>
      <c r="E42" s="20">
        <f t="shared" si="0"/>
        <v>0.2734158368204666</v>
      </c>
      <c r="F42" s="52">
        <f t="shared" si="0"/>
        <v>0.4816888600280008</v>
      </c>
    </row>
    <row r="43" spans="1:6" s="4" customFormat="1" ht="21">
      <c r="A43" s="64" t="s">
        <v>150</v>
      </c>
      <c r="B43" s="2"/>
      <c r="C43" s="1"/>
      <c r="D43" s="1"/>
      <c r="E43" s="1"/>
      <c r="F43" s="49"/>
    </row>
    <row r="44" spans="1:6" s="19" customFormat="1" ht="21">
      <c r="A44" s="71" t="s">
        <v>142</v>
      </c>
      <c r="B44" s="20">
        <f>SUM(C44:F44)</f>
        <v>0.9999999999999998</v>
      </c>
      <c r="C44" s="16">
        <f aca="true" t="shared" si="1" ref="C44:F47">C31/$B31</f>
        <v>0.7166710224892937</v>
      </c>
      <c r="D44" s="16">
        <f t="shared" si="1"/>
        <v>0.14415417496428432</v>
      </c>
      <c r="E44" s="16">
        <f t="shared" si="1"/>
        <v>0.10794796096927495</v>
      </c>
      <c r="F44" s="48">
        <f t="shared" si="1"/>
        <v>0.031226841577146867</v>
      </c>
    </row>
    <row r="45" spans="1:6" s="19" customFormat="1" ht="21">
      <c r="A45" s="71" t="s">
        <v>145</v>
      </c>
      <c r="B45" s="20">
        <f>SUM(C45:F45)</f>
        <v>1</v>
      </c>
      <c r="C45" s="16">
        <f t="shared" si="1"/>
        <v>0</v>
      </c>
      <c r="D45" s="16">
        <f t="shared" si="1"/>
        <v>0.8608251974535782</v>
      </c>
      <c r="E45" s="16">
        <f t="shared" si="1"/>
        <v>0.10794796096927496</v>
      </c>
      <c r="F45" s="48">
        <f t="shared" si="1"/>
        <v>0.03122684157714687</v>
      </c>
    </row>
    <row r="46" spans="1:6" s="19" customFormat="1" ht="21">
      <c r="A46" s="71" t="s">
        <v>146</v>
      </c>
      <c r="B46" s="20">
        <f>SUM(C46:F46)</f>
        <v>0.9999999999999999</v>
      </c>
      <c r="C46" s="16">
        <f t="shared" si="1"/>
        <v>0</v>
      </c>
      <c r="D46" s="16">
        <f t="shared" si="1"/>
        <v>0</v>
      </c>
      <c r="E46" s="16">
        <f t="shared" si="1"/>
        <v>0.968773158422853</v>
      </c>
      <c r="F46" s="48">
        <f t="shared" si="1"/>
        <v>0.03122684157714687</v>
      </c>
    </row>
    <row r="47" spans="1:6" s="19" customFormat="1" ht="21">
      <c r="A47" s="71" t="s">
        <v>147</v>
      </c>
      <c r="B47" s="20">
        <f>SUM(C47:F47)</f>
        <v>1</v>
      </c>
      <c r="C47" s="16">
        <f t="shared" si="1"/>
        <v>0</v>
      </c>
      <c r="D47" s="16">
        <f t="shared" si="1"/>
        <v>0</v>
      </c>
      <c r="E47" s="16">
        <f t="shared" si="1"/>
        <v>0</v>
      </c>
      <c r="F47" s="48">
        <f t="shared" si="1"/>
        <v>1</v>
      </c>
    </row>
    <row r="48" spans="1:6" s="19" customFormat="1" ht="21">
      <c r="A48" s="72" t="s">
        <v>27</v>
      </c>
      <c r="B48" s="20">
        <f>SUM(C48:F48)</f>
        <v>2.144573714733943E-07</v>
      </c>
      <c r="C48" s="20">
        <f>C41/$B$35</f>
        <v>0</v>
      </c>
      <c r="D48" s="20">
        <f>D41/$B$35</f>
        <v>0</v>
      </c>
      <c r="E48" s="20">
        <f>E41/$B$35</f>
        <v>0</v>
      </c>
      <c r="F48" s="52">
        <f>F41/$B$35</f>
        <v>2.144573714733943E-07</v>
      </c>
    </row>
    <row r="49" spans="1:6" s="19" customFormat="1" ht="21">
      <c r="A49" s="72"/>
      <c r="B49" s="20"/>
      <c r="C49" s="20"/>
      <c r="D49" s="20"/>
      <c r="E49" s="20"/>
      <c r="F49" s="52"/>
    </row>
    <row r="50" spans="1:6" s="18" customFormat="1" ht="21">
      <c r="A50" s="65" t="s">
        <v>109</v>
      </c>
      <c r="B50" s="1"/>
      <c r="C50" s="20"/>
      <c r="D50" s="20"/>
      <c r="E50" s="20"/>
      <c r="F50" s="52"/>
    </row>
    <row r="51" spans="1:6" s="4" customFormat="1" ht="21">
      <c r="A51" s="71" t="s">
        <v>140</v>
      </c>
      <c r="B51" s="24">
        <f>B125/B18</f>
        <v>5.2232486264</v>
      </c>
      <c r="C51" s="1"/>
      <c r="D51" s="1"/>
      <c r="E51" s="1"/>
      <c r="F51" s="49"/>
    </row>
    <row r="52" spans="1:6" s="4" customFormat="1" ht="21">
      <c r="A52" s="71" t="s">
        <v>105</v>
      </c>
      <c r="B52" s="24">
        <f>B20/B18</f>
        <v>8.133345312189139</v>
      </c>
      <c r="C52" s="1"/>
      <c r="D52" s="1"/>
      <c r="E52" s="1"/>
      <c r="F52" s="49"/>
    </row>
    <row r="53" spans="1:6" s="4" customFormat="1" ht="42">
      <c r="A53" s="73" t="s">
        <v>107</v>
      </c>
      <c r="B53" s="24">
        <f>(B160+B161+B159)/B18</f>
        <v>0.48658740384800003</v>
      </c>
      <c r="C53" s="1"/>
      <c r="D53" s="1"/>
      <c r="E53" s="1"/>
      <c r="F53" s="49"/>
    </row>
    <row r="54" spans="1:6" s="4" customFormat="1" ht="21">
      <c r="A54" s="73" t="s">
        <v>126</v>
      </c>
      <c r="B54" s="24">
        <f>B199/B18</f>
        <v>0</v>
      </c>
      <c r="C54" s="1"/>
      <c r="D54" s="1"/>
      <c r="E54" s="1"/>
      <c r="F54" s="49"/>
    </row>
    <row r="55" spans="1:6" s="18" customFormat="1" ht="21">
      <c r="A55" s="74" t="s">
        <v>108</v>
      </c>
      <c r="B55" s="46">
        <f>B51+B52+B53+B54</f>
        <v>13.84318134243714</v>
      </c>
      <c r="C55" s="2"/>
      <c r="D55" s="2"/>
      <c r="E55" s="2"/>
      <c r="F55" s="51"/>
    </row>
    <row r="56" spans="1:6" s="4" customFormat="1" ht="21">
      <c r="A56" s="71"/>
      <c r="B56" s="1"/>
      <c r="C56" s="1"/>
      <c r="D56" s="1"/>
      <c r="E56" s="1"/>
      <c r="F56" s="49"/>
    </row>
    <row r="57" spans="1:6" s="4" customFormat="1" ht="21">
      <c r="A57" s="71" t="s">
        <v>106</v>
      </c>
      <c r="B57" s="24">
        <f>B173/B18</f>
        <v>13.551117772799994</v>
      </c>
      <c r="C57" s="1"/>
      <c r="D57" s="1"/>
      <c r="E57" s="1"/>
      <c r="F57" s="49"/>
    </row>
    <row r="58" spans="1:6" s="4" customFormat="1" ht="21">
      <c r="A58" s="71" t="s">
        <v>132</v>
      </c>
      <c r="B58" s="24">
        <f>B57-B55</f>
        <v>-0.2920635696371452</v>
      </c>
      <c r="C58" s="1"/>
      <c r="D58" s="1"/>
      <c r="E58" s="1"/>
      <c r="F58" s="49"/>
    </row>
    <row r="59" spans="1:6" s="4" customFormat="1" ht="21">
      <c r="A59" s="71" t="s">
        <v>133</v>
      </c>
      <c r="B59" s="16">
        <f>B58/B55</f>
        <v>-0.021098009367384794</v>
      </c>
      <c r="C59" s="1"/>
      <c r="D59" s="1"/>
      <c r="E59" s="1"/>
      <c r="F59" s="49"/>
    </row>
    <row r="60" spans="1:6" s="4" customFormat="1" ht="21">
      <c r="A60" s="71"/>
      <c r="B60" s="1"/>
      <c r="C60" s="1"/>
      <c r="D60" s="1"/>
      <c r="E60" s="1"/>
      <c r="F60" s="49"/>
    </row>
    <row r="61" spans="1:6" s="4" customFormat="1" ht="21">
      <c r="A61" s="65" t="s">
        <v>134</v>
      </c>
      <c r="B61" s="3" t="s">
        <v>27</v>
      </c>
      <c r="C61" s="2"/>
      <c r="D61" s="2"/>
      <c r="E61" s="2"/>
      <c r="F61" s="51"/>
    </row>
    <row r="62" spans="1:6" s="4" customFormat="1" ht="21">
      <c r="A62" s="71" t="s">
        <v>129</v>
      </c>
      <c r="B62" s="2">
        <f aca="true" t="shared" si="2" ref="B62:B81">SUM(C62:F62)</f>
        <v>2600</v>
      </c>
      <c r="C62" s="1">
        <v>2600</v>
      </c>
      <c r="D62" s="1">
        <v>0</v>
      </c>
      <c r="E62" s="1">
        <v>0</v>
      </c>
      <c r="F62" s="49">
        <v>0</v>
      </c>
    </row>
    <row r="63" spans="1:6" s="4" customFormat="1" ht="21">
      <c r="A63" s="71" t="s">
        <v>71</v>
      </c>
      <c r="B63" s="2">
        <f t="shared" si="2"/>
        <v>16000</v>
      </c>
      <c r="C63" s="1">
        <v>16000</v>
      </c>
      <c r="D63" s="1">
        <v>0</v>
      </c>
      <c r="E63" s="1">
        <v>0</v>
      </c>
      <c r="F63" s="49">
        <v>0</v>
      </c>
    </row>
    <row r="64" spans="1:6" s="4" customFormat="1" ht="21">
      <c r="A64" s="71" t="s">
        <v>72</v>
      </c>
      <c r="B64" s="2">
        <f t="shared" si="2"/>
        <v>108000</v>
      </c>
      <c r="C64" s="1">
        <v>99600</v>
      </c>
      <c r="D64" s="1">
        <v>8400</v>
      </c>
      <c r="E64" s="1">
        <v>0</v>
      </c>
      <c r="F64" s="49">
        <v>0</v>
      </c>
    </row>
    <row r="65" spans="1:6" s="4" customFormat="1" ht="21">
      <c r="A65" s="71" t="s">
        <v>73</v>
      </c>
      <c r="B65" s="2">
        <f t="shared" si="2"/>
        <v>30000</v>
      </c>
      <c r="C65" s="1">
        <v>22500</v>
      </c>
      <c r="D65" s="1">
        <v>7500</v>
      </c>
      <c r="E65" s="1">
        <v>0</v>
      </c>
      <c r="F65" s="49">
        <v>0</v>
      </c>
    </row>
    <row r="66" spans="1:6" s="4" customFormat="1" ht="21">
      <c r="A66" s="71" t="s">
        <v>74</v>
      </c>
      <c r="B66" s="2">
        <f t="shared" si="2"/>
        <v>7600</v>
      </c>
      <c r="C66" s="1">
        <v>4750</v>
      </c>
      <c r="D66" s="1">
        <v>2850</v>
      </c>
      <c r="E66" s="1">
        <v>0</v>
      </c>
      <c r="F66" s="49">
        <v>0</v>
      </c>
    </row>
    <row r="67" spans="1:6" s="4" customFormat="1" ht="21">
      <c r="A67" s="71" t="s">
        <v>76</v>
      </c>
      <c r="B67" s="2">
        <f t="shared" si="2"/>
        <v>41000</v>
      </c>
      <c r="C67" s="1">
        <v>20500</v>
      </c>
      <c r="D67" s="1">
        <v>20500</v>
      </c>
      <c r="E67" s="1">
        <v>0</v>
      </c>
      <c r="F67" s="49">
        <v>0</v>
      </c>
    </row>
    <row r="68" spans="1:6" s="4" customFormat="1" ht="21">
      <c r="A68" s="71" t="s">
        <v>75</v>
      </c>
      <c r="B68" s="2">
        <f t="shared" si="2"/>
        <v>42000</v>
      </c>
      <c r="C68" s="1">
        <v>8400</v>
      </c>
      <c r="D68" s="1">
        <v>31500</v>
      </c>
      <c r="E68" s="1">
        <v>2100</v>
      </c>
      <c r="F68" s="49">
        <v>0</v>
      </c>
    </row>
    <row r="69" spans="1:6" s="4" customFormat="1" ht="21">
      <c r="A69" s="71" t="s">
        <v>77</v>
      </c>
      <c r="B69" s="2">
        <f t="shared" si="2"/>
        <v>50000</v>
      </c>
      <c r="C69" s="1">
        <v>0</v>
      </c>
      <c r="D69" s="1">
        <v>39600</v>
      </c>
      <c r="E69" s="1">
        <v>10400</v>
      </c>
      <c r="F69" s="49">
        <v>0</v>
      </c>
    </row>
    <row r="70" spans="1:6" s="4" customFormat="1" ht="21">
      <c r="A70" s="71" t="s">
        <v>78</v>
      </c>
      <c r="B70" s="2">
        <f t="shared" si="2"/>
        <v>11000</v>
      </c>
      <c r="C70" s="1">
        <v>0</v>
      </c>
      <c r="D70" s="1">
        <v>4900</v>
      </c>
      <c r="E70" s="1">
        <v>6100</v>
      </c>
      <c r="F70" s="49">
        <v>0</v>
      </c>
    </row>
    <row r="71" spans="1:6" s="4" customFormat="1" ht="21">
      <c r="A71" s="71" t="s">
        <v>79</v>
      </c>
      <c r="B71" s="2">
        <f t="shared" si="2"/>
        <v>5000</v>
      </c>
      <c r="C71" s="1">
        <v>0</v>
      </c>
      <c r="D71" s="1">
        <v>0</v>
      </c>
      <c r="E71" s="1">
        <v>3300</v>
      </c>
      <c r="F71" s="49">
        <v>1700</v>
      </c>
    </row>
    <row r="72" spans="1:6" s="4" customFormat="1" ht="21">
      <c r="A72" s="71" t="s">
        <v>89</v>
      </c>
      <c r="B72" s="2">
        <f t="shared" si="2"/>
        <v>53000</v>
      </c>
      <c r="C72" s="1">
        <v>10600</v>
      </c>
      <c r="D72" s="1">
        <v>19600</v>
      </c>
      <c r="E72" s="1">
        <v>22800</v>
      </c>
      <c r="F72" s="49">
        <v>0</v>
      </c>
    </row>
    <row r="73" spans="1:6" s="4" customFormat="1" ht="21">
      <c r="A73" s="71" t="s">
        <v>80</v>
      </c>
      <c r="B73" s="2">
        <f t="shared" si="2"/>
        <v>18000</v>
      </c>
      <c r="C73" s="1">
        <v>0</v>
      </c>
      <c r="D73" s="1">
        <v>0</v>
      </c>
      <c r="E73" s="1">
        <v>13500</v>
      </c>
      <c r="F73" s="49">
        <v>4500</v>
      </c>
    </row>
    <row r="74" spans="1:6" s="4" customFormat="1" ht="21">
      <c r="A74" s="71" t="s">
        <v>81</v>
      </c>
      <c r="B74" s="2">
        <f t="shared" si="2"/>
        <v>13000</v>
      </c>
      <c r="C74" s="1">
        <v>0</v>
      </c>
      <c r="D74" s="1">
        <v>3250</v>
      </c>
      <c r="E74" s="1">
        <v>9750</v>
      </c>
      <c r="F74" s="49">
        <v>0</v>
      </c>
    </row>
    <row r="75" spans="1:6" s="4" customFormat="1" ht="21">
      <c r="A75" s="71" t="s">
        <v>82</v>
      </c>
      <c r="B75" s="2">
        <f t="shared" si="2"/>
        <v>35000</v>
      </c>
      <c r="C75" s="1">
        <v>0</v>
      </c>
      <c r="D75" s="1">
        <v>8750</v>
      </c>
      <c r="E75" s="1">
        <v>21000</v>
      </c>
      <c r="F75" s="49">
        <v>5250</v>
      </c>
    </row>
    <row r="76" spans="1:6" s="4" customFormat="1" ht="21">
      <c r="A76" s="71" t="s">
        <v>83</v>
      </c>
      <c r="B76" s="2">
        <f t="shared" si="2"/>
        <v>76000</v>
      </c>
      <c r="C76" s="1">
        <v>0</v>
      </c>
      <c r="D76" s="1">
        <v>30400</v>
      </c>
      <c r="E76" s="1">
        <v>28500</v>
      </c>
      <c r="F76" s="49">
        <v>17100</v>
      </c>
    </row>
    <row r="77" spans="1:6" s="4" customFormat="1" ht="21">
      <c r="A77" s="71" t="s">
        <v>84</v>
      </c>
      <c r="B77" s="2">
        <f t="shared" si="2"/>
        <v>10000</v>
      </c>
      <c r="C77" s="1">
        <v>2850</v>
      </c>
      <c r="D77" s="1">
        <v>2850</v>
      </c>
      <c r="E77" s="1">
        <v>2850</v>
      </c>
      <c r="F77" s="49">
        <v>1450</v>
      </c>
    </row>
    <row r="78" spans="1:6" s="4" customFormat="1" ht="21">
      <c r="A78" s="72" t="s">
        <v>110</v>
      </c>
      <c r="B78" s="2">
        <f t="shared" si="2"/>
        <v>518200</v>
      </c>
      <c r="C78" s="2">
        <f>SUM(C62:C77)</f>
        <v>187800</v>
      </c>
      <c r="D78" s="2">
        <f>SUM(D62:D77)</f>
        <v>180100</v>
      </c>
      <c r="E78" s="2">
        <f>SUM(E62:E77)</f>
        <v>120300</v>
      </c>
      <c r="F78" s="51">
        <f>SUM(F62:F77)</f>
        <v>30000</v>
      </c>
    </row>
    <row r="79" spans="1:6" s="4" customFormat="1" ht="21">
      <c r="A79" s="71" t="s">
        <v>85</v>
      </c>
      <c r="B79" s="2">
        <f t="shared" si="2"/>
        <v>20728</v>
      </c>
      <c r="C79" s="1">
        <f>0.04*C78</f>
        <v>7512</v>
      </c>
      <c r="D79" s="1">
        <f>0.04*D78</f>
        <v>7204</v>
      </c>
      <c r="E79" s="1">
        <f>0.04*E78</f>
        <v>4812</v>
      </c>
      <c r="F79" s="49">
        <f>0.04*F78</f>
        <v>1200</v>
      </c>
    </row>
    <row r="80" spans="1:6" s="4" customFormat="1" ht="21">
      <c r="A80" s="71" t="s">
        <v>86</v>
      </c>
      <c r="B80" s="2">
        <f t="shared" si="2"/>
        <v>77730</v>
      </c>
      <c r="C80" s="1">
        <f>0.15*C78</f>
        <v>28170</v>
      </c>
      <c r="D80" s="1">
        <f>0.15*D78</f>
        <v>27015</v>
      </c>
      <c r="E80" s="1">
        <f>0.15*E78</f>
        <v>18045</v>
      </c>
      <c r="F80" s="49">
        <f>0.15*F78</f>
        <v>4500</v>
      </c>
    </row>
    <row r="81" spans="1:6" s="4" customFormat="1" ht="21">
      <c r="A81" s="72" t="s">
        <v>88</v>
      </c>
      <c r="B81" s="2">
        <f t="shared" si="2"/>
        <v>616658</v>
      </c>
      <c r="C81" s="2">
        <f>SUM(C78:C80)</f>
        <v>223482</v>
      </c>
      <c r="D81" s="2">
        <f>SUM(D78:D80)</f>
        <v>214319</v>
      </c>
      <c r="E81" s="2">
        <f>SUM(E78:E80)</f>
        <v>143157</v>
      </c>
      <c r="F81" s="51">
        <f>SUM(F78:F80)</f>
        <v>35700</v>
      </c>
    </row>
    <row r="82" spans="1:6" s="4" customFormat="1" ht="21">
      <c r="A82" s="71"/>
      <c r="B82" s="1"/>
      <c r="C82" s="1"/>
      <c r="D82" s="1"/>
      <c r="E82" s="1"/>
      <c r="F82" s="49"/>
    </row>
    <row r="83" spans="1:6" s="4" customFormat="1" ht="21">
      <c r="A83" s="65" t="s">
        <v>135</v>
      </c>
      <c r="B83" s="3" t="s">
        <v>27</v>
      </c>
      <c r="C83" s="2"/>
      <c r="D83" s="2"/>
      <c r="E83" s="2"/>
      <c r="F83" s="51"/>
    </row>
    <row r="84" spans="1:6" s="4" customFormat="1" ht="21">
      <c r="A84" s="71" t="s">
        <v>129</v>
      </c>
      <c r="B84" s="20">
        <f aca="true" t="shared" si="3" ref="B84:B103">SUM(C84:F84)</f>
        <v>0.004216275471979606</v>
      </c>
      <c r="C84" s="16">
        <f aca="true" t="shared" si="4" ref="C84:F103">C62/$B$81</f>
        <v>0.004216275471979606</v>
      </c>
      <c r="D84" s="16">
        <f t="shared" si="4"/>
        <v>0</v>
      </c>
      <c r="E84" s="16">
        <f t="shared" si="4"/>
        <v>0</v>
      </c>
      <c r="F84" s="48">
        <f t="shared" si="4"/>
        <v>0</v>
      </c>
    </row>
    <row r="85" spans="1:6" s="4" customFormat="1" ht="21">
      <c r="A85" s="71" t="s">
        <v>71</v>
      </c>
      <c r="B85" s="20">
        <f t="shared" si="3"/>
        <v>0.025946310596797577</v>
      </c>
      <c r="C85" s="16">
        <f t="shared" si="4"/>
        <v>0.025946310596797577</v>
      </c>
      <c r="D85" s="16">
        <f t="shared" si="4"/>
        <v>0</v>
      </c>
      <c r="E85" s="16">
        <f t="shared" si="4"/>
        <v>0</v>
      </c>
      <c r="F85" s="48">
        <f t="shared" si="4"/>
        <v>0</v>
      </c>
    </row>
    <row r="86" spans="1:6" s="4" customFormat="1" ht="21">
      <c r="A86" s="71" t="s">
        <v>72</v>
      </c>
      <c r="B86" s="20">
        <f t="shared" si="3"/>
        <v>0.17513759652838365</v>
      </c>
      <c r="C86" s="16">
        <f t="shared" si="4"/>
        <v>0.16151578346506493</v>
      </c>
      <c r="D86" s="16">
        <f t="shared" si="4"/>
        <v>0.013621813063318727</v>
      </c>
      <c r="E86" s="16">
        <f t="shared" si="4"/>
        <v>0</v>
      </c>
      <c r="F86" s="48">
        <f t="shared" si="4"/>
        <v>0</v>
      </c>
    </row>
    <row r="87" spans="1:6" s="4" customFormat="1" ht="21">
      <c r="A87" s="71" t="s">
        <v>73</v>
      </c>
      <c r="B87" s="20">
        <f t="shared" si="3"/>
        <v>0.048649332368995456</v>
      </c>
      <c r="C87" s="16">
        <f t="shared" si="4"/>
        <v>0.03648699927674659</v>
      </c>
      <c r="D87" s="16">
        <f t="shared" si="4"/>
        <v>0.012162333092248864</v>
      </c>
      <c r="E87" s="16">
        <f t="shared" si="4"/>
        <v>0</v>
      </c>
      <c r="F87" s="48">
        <f t="shared" si="4"/>
        <v>0</v>
      </c>
    </row>
    <row r="88" spans="1:6" s="4" customFormat="1" ht="21">
      <c r="A88" s="71" t="s">
        <v>74</v>
      </c>
      <c r="B88" s="20">
        <f t="shared" si="3"/>
        <v>0.012324497533478848</v>
      </c>
      <c r="C88" s="16">
        <f t="shared" si="4"/>
        <v>0.007702810958424281</v>
      </c>
      <c r="D88" s="16">
        <f t="shared" si="4"/>
        <v>0.004621686575054568</v>
      </c>
      <c r="E88" s="16">
        <f t="shared" si="4"/>
        <v>0</v>
      </c>
      <c r="F88" s="48">
        <f t="shared" si="4"/>
        <v>0</v>
      </c>
    </row>
    <row r="89" spans="1:6" s="4" customFormat="1" ht="21">
      <c r="A89" s="71" t="s">
        <v>76</v>
      </c>
      <c r="B89" s="20">
        <f t="shared" si="3"/>
        <v>0.06648742090429378</v>
      </c>
      <c r="C89" s="16">
        <f t="shared" si="4"/>
        <v>0.03324371045214689</v>
      </c>
      <c r="D89" s="16">
        <f t="shared" si="4"/>
        <v>0.03324371045214689</v>
      </c>
      <c r="E89" s="16">
        <f t="shared" si="4"/>
        <v>0</v>
      </c>
      <c r="F89" s="48">
        <f t="shared" si="4"/>
        <v>0</v>
      </c>
    </row>
    <row r="90" spans="1:6" s="4" customFormat="1" ht="21">
      <c r="A90" s="71" t="s">
        <v>75</v>
      </c>
      <c r="B90" s="20">
        <f t="shared" si="3"/>
        <v>0.06810906531659364</v>
      </c>
      <c r="C90" s="16">
        <f t="shared" si="4"/>
        <v>0.013621813063318727</v>
      </c>
      <c r="D90" s="16">
        <f t="shared" si="4"/>
        <v>0.05108179898744523</v>
      </c>
      <c r="E90" s="16">
        <f t="shared" si="4"/>
        <v>0.0034054532658296817</v>
      </c>
      <c r="F90" s="48">
        <f t="shared" si="4"/>
        <v>0</v>
      </c>
    </row>
    <row r="91" spans="1:6" s="4" customFormat="1" ht="21">
      <c r="A91" s="71" t="s">
        <v>77</v>
      </c>
      <c r="B91" s="20">
        <f t="shared" si="3"/>
        <v>0.08108222061499243</v>
      </c>
      <c r="C91" s="16">
        <f t="shared" si="4"/>
        <v>0</v>
      </c>
      <c r="D91" s="16">
        <f t="shared" si="4"/>
        <v>0.064217118727074</v>
      </c>
      <c r="E91" s="16">
        <f t="shared" si="4"/>
        <v>0.016865101887918423</v>
      </c>
      <c r="F91" s="48">
        <f t="shared" si="4"/>
        <v>0</v>
      </c>
    </row>
    <row r="92" spans="1:6" s="4" customFormat="1" ht="21">
      <c r="A92" s="71" t="s">
        <v>78</v>
      </c>
      <c r="B92" s="20">
        <f t="shared" si="3"/>
        <v>0.017838088535298335</v>
      </c>
      <c r="C92" s="16">
        <f t="shared" si="4"/>
        <v>0</v>
      </c>
      <c r="D92" s="16">
        <f t="shared" si="4"/>
        <v>0.007946057620269257</v>
      </c>
      <c r="E92" s="16">
        <f t="shared" si="4"/>
        <v>0.009892030915029076</v>
      </c>
      <c r="F92" s="48">
        <f t="shared" si="4"/>
        <v>0</v>
      </c>
    </row>
    <row r="93" spans="1:6" s="4" customFormat="1" ht="21">
      <c r="A93" s="71" t="s">
        <v>79</v>
      </c>
      <c r="B93" s="20">
        <f t="shared" si="3"/>
        <v>0.008108222061499243</v>
      </c>
      <c r="C93" s="16">
        <f t="shared" si="4"/>
        <v>0</v>
      </c>
      <c r="D93" s="16">
        <f t="shared" si="4"/>
        <v>0</v>
      </c>
      <c r="E93" s="16">
        <f t="shared" si="4"/>
        <v>0.0053514265605895004</v>
      </c>
      <c r="F93" s="48">
        <f t="shared" si="4"/>
        <v>0.0027567955009097423</v>
      </c>
    </row>
    <row r="94" spans="1:6" s="4" customFormat="1" ht="21">
      <c r="A94" s="71" t="s">
        <v>89</v>
      </c>
      <c r="B94" s="20">
        <f t="shared" si="3"/>
        <v>0.08594715385189197</v>
      </c>
      <c r="C94" s="16">
        <f t="shared" si="4"/>
        <v>0.017189430770378395</v>
      </c>
      <c r="D94" s="16">
        <f t="shared" si="4"/>
        <v>0.03178423048107703</v>
      </c>
      <c r="E94" s="16">
        <f t="shared" si="4"/>
        <v>0.036973492600436544</v>
      </c>
      <c r="F94" s="48">
        <f t="shared" si="4"/>
        <v>0</v>
      </c>
    </row>
    <row r="95" spans="1:6" s="4" customFormat="1" ht="21">
      <c r="A95" s="71" t="s">
        <v>80</v>
      </c>
      <c r="B95" s="20">
        <f t="shared" si="3"/>
        <v>0.029189599421397275</v>
      </c>
      <c r="C95" s="16">
        <f t="shared" si="4"/>
        <v>0</v>
      </c>
      <c r="D95" s="16">
        <f t="shared" si="4"/>
        <v>0</v>
      </c>
      <c r="E95" s="16">
        <f t="shared" si="4"/>
        <v>0.021892199566047956</v>
      </c>
      <c r="F95" s="48">
        <f t="shared" si="4"/>
        <v>0.007297399855349319</v>
      </c>
    </row>
    <row r="96" spans="1:6" s="4" customFormat="1" ht="21">
      <c r="A96" s="71" t="s">
        <v>81</v>
      </c>
      <c r="B96" s="20">
        <f t="shared" si="3"/>
        <v>0.02108137735989803</v>
      </c>
      <c r="C96" s="16">
        <f t="shared" si="4"/>
        <v>0</v>
      </c>
      <c r="D96" s="16">
        <f t="shared" si="4"/>
        <v>0.0052703443399745075</v>
      </c>
      <c r="E96" s="16">
        <f t="shared" si="4"/>
        <v>0.015811033019923523</v>
      </c>
      <c r="F96" s="48">
        <f t="shared" si="4"/>
        <v>0</v>
      </c>
    </row>
    <row r="97" spans="1:6" s="4" customFormat="1" ht="21">
      <c r="A97" s="71" t="s">
        <v>82</v>
      </c>
      <c r="B97" s="20">
        <f t="shared" si="3"/>
        <v>0.0567575544304947</v>
      </c>
      <c r="C97" s="16">
        <f t="shared" si="4"/>
        <v>0</v>
      </c>
      <c r="D97" s="16">
        <f t="shared" si="4"/>
        <v>0.014189388607623674</v>
      </c>
      <c r="E97" s="16">
        <f t="shared" si="4"/>
        <v>0.03405453265829682</v>
      </c>
      <c r="F97" s="48">
        <f t="shared" si="4"/>
        <v>0.008513633164574205</v>
      </c>
    </row>
    <row r="98" spans="1:6" s="4" customFormat="1" ht="21">
      <c r="A98" s="71" t="s">
        <v>83</v>
      </c>
      <c r="B98" s="20">
        <f t="shared" si="3"/>
        <v>0.12324497533478848</v>
      </c>
      <c r="C98" s="16">
        <f t="shared" si="4"/>
        <v>0</v>
      </c>
      <c r="D98" s="16">
        <f t="shared" si="4"/>
        <v>0.04929799013391539</v>
      </c>
      <c r="E98" s="16">
        <f t="shared" si="4"/>
        <v>0.046216865750545684</v>
      </c>
      <c r="F98" s="48">
        <f t="shared" si="4"/>
        <v>0.02773011945032741</v>
      </c>
    </row>
    <row r="99" spans="1:6" s="4" customFormat="1" ht="21">
      <c r="A99" s="71" t="s">
        <v>84</v>
      </c>
      <c r="B99" s="20">
        <f t="shared" si="3"/>
        <v>0.016216444122998483</v>
      </c>
      <c r="C99" s="16">
        <f t="shared" si="4"/>
        <v>0.004621686575054568</v>
      </c>
      <c r="D99" s="16">
        <f t="shared" si="4"/>
        <v>0.004621686575054568</v>
      </c>
      <c r="E99" s="16">
        <f t="shared" si="4"/>
        <v>0.004621686575054568</v>
      </c>
      <c r="F99" s="48">
        <f t="shared" si="4"/>
        <v>0.0023513843978347805</v>
      </c>
    </row>
    <row r="100" spans="1:6" s="18" customFormat="1" ht="21">
      <c r="A100" s="72" t="s">
        <v>110</v>
      </c>
      <c r="B100" s="20">
        <f t="shared" si="3"/>
        <v>0.8403361344537815</v>
      </c>
      <c r="C100" s="20">
        <f t="shared" si="4"/>
        <v>0.30454482062991156</v>
      </c>
      <c r="D100" s="20">
        <f t="shared" si="4"/>
        <v>0.29205815865520274</v>
      </c>
      <c r="E100" s="20">
        <f t="shared" si="4"/>
        <v>0.1950838227996718</v>
      </c>
      <c r="F100" s="52">
        <f t="shared" si="4"/>
        <v>0.048649332368995456</v>
      </c>
    </row>
    <row r="101" spans="1:6" s="4" customFormat="1" ht="21">
      <c r="A101" s="71" t="s">
        <v>85</v>
      </c>
      <c r="B101" s="20">
        <f t="shared" si="3"/>
        <v>0.03361344537815126</v>
      </c>
      <c r="C101" s="16">
        <f t="shared" si="4"/>
        <v>0.012181792825196462</v>
      </c>
      <c r="D101" s="16">
        <f t="shared" si="4"/>
        <v>0.011682326346208109</v>
      </c>
      <c r="E101" s="16">
        <f t="shared" si="4"/>
        <v>0.007803352911986871</v>
      </c>
      <c r="F101" s="48">
        <f t="shared" si="4"/>
        <v>0.0019459732947598183</v>
      </c>
    </row>
    <row r="102" spans="1:6" s="4" customFormat="1" ht="21">
      <c r="A102" s="71" t="s">
        <v>86</v>
      </c>
      <c r="B102" s="20">
        <f t="shared" si="3"/>
        <v>0.12605042016806722</v>
      </c>
      <c r="C102" s="16">
        <f t="shared" si="4"/>
        <v>0.04568172309448673</v>
      </c>
      <c r="D102" s="16">
        <f t="shared" si="4"/>
        <v>0.04380872379828041</v>
      </c>
      <c r="E102" s="16">
        <f t="shared" si="4"/>
        <v>0.029262573419950765</v>
      </c>
      <c r="F102" s="48">
        <f t="shared" si="4"/>
        <v>0.007297399855349319</v>
      </c>
    </row>
    <row r="103" spans="1:6" s="18" customFormat="1" ht="21">
      <c r="A103" s="72" t="s">
        <v>88</v>
      </c>
      <c r="B103" s="20">
        <f t="shared" si="3"/>
        <v>1</v>
      </c>
      <c r="C103" s="20">
        <f t="shared" si="4"/>
        <v>0.36240833654959476</v>
      </c>
      <c r="D103" s="20">
        <f t="shared" si="4"/>
        <v>0.34754920879969126</v>
      </c>
      <c r="E103" s="20">
        <f t="shared" si="4"/>
        <v>0.2321497491316094</v>
      </c>
      <c r="F103" s="52">
        <f t="shared" si="4"/>
        <v>0.057892705519104595</v>
      </c>
    </row>
    <row r="104" spans="1:6" s="4" customFormat="1" ht="21">
      <c r="A104" s="72"/>
      <c r="B104" s="42"/>
      <c r="C104" s="42"/>
      <c r="D104" s="42"/>
      <c r="E104" s="42"/>
      <c r="F104" s="53"/>
    </row>
    <row r="105" spans="1:6" s="4" customFormat="1" ht="21">
      <c r="A105" s="65" t="s">
        <v>136</v>
      </c>
      <c r="B105" s="3" t="s">
        <v>27</v>
      </c>
      <c r="C105" s="2"/>
      <c r="D105" s="2"/>
      <c r="E105" s="2"/>
      <c r="F105" s="51"/>
    </row>
    <row r="106" spans="1:6" s="4" customFormat="1" ht="21">
      <c r="A106" s="71" t="s">
        <v>129</v>
      </c>
      <c r="B106" s="2">
        <f aca="true" t="shared" si="5" ref="B106:B125">SUM(C106:F106)</f>
        <v>3016</v>
      </c>
      <c r="C106" s="1">
        <f aca="true" t="shared" si="6" ref="C106:C121">C62*(1+C$13)</f>
        <v>3016</v>
      </c>
      <c r="D106" s="1">
        <f aca="true" t="shared" si="7" ref="D106:D121">D62*(1+D$13)*(1+C$13)</f>
        <v>0</v>
      </c>
      <c r="E106" s="1">
        <f aca="true" t="shared" si="8" ref="E106:E121">E62*(1+E$13)*(1+D$13)*(1+C$13)</f>
        <v>0</v>
      </c>
      <c r="F106" s="49">
        <f aca="true" t="shared" si="9" ref="F106:F121">F62*(1+F$13)*(1+E$13)*(1+D$13)*(1+C$13)</f>
        <v>0</v>
      </c>
    </row>
    <row r="107" spans="1:6" s="4" customFormat="1" ht="21">
      <c r="A107" s="71" t="s">
        <v>71</v>
      </c>
      <c r="B107" s="2">
        <f t="shared" si="5"/>
        <v>18560</v>
      </c>
      <c r="C107" s="1">
        <f t="shared" si="6"/>
        <v>18560</v>
      </c>
      <c r="D107" s="1">
        <f t="shared" si="7"/>
        <v>0</v>
      </c>
      <c r="E107" s="1">
        <f t="shared" si="8"/>
        <v>0</v>
      </c>
      <c r="F107" s="49">
        <f t="shared" si="9"/>
        <v>0</v>
      </c>
    </row>
    <row r="108" spans="1:6" s="4" customFormat="1" ht="21">
      <c r="A108" s="71" t="s">
        <v>72</v>
      </c>
      <c r="B108" s="2">
        <f t="shared" si="5"/>
        <v>126839.03999999998</v>
      </c>
      <c r="C108" s="1">
        <f t="shared" si="6"/>
        <v>115535.99999999999</v>
      </c>
      <c r="D108" s="1">
        <f t="shared" si="7"/>
        <v>11303.039999999999</v>
      </c>
      <c r="E108" s="1">
        <f t="shared" si="8"/>
        <v>0</v>
      </c>
      <c r="F108" s="49">
        <f t="shared" si="9"/>
        <v>0</v>
      </c>
    </row>
    <row r="109" spans="1:6" s="4" customFormat="1" ht="21">
      <c r="A109" s="71" t="s">
        <v>73</v>
      </c>
      <c r="B109" s="2">
        <f t="shared" si="5"/>
        <v>36192</v>
      </c>
      <c r="C109" s="1">
        <f t="shared" si="6"/>
        <v>26100</v>
      </c>
      <c r="D109" s="1">
        <f t="shared" si="7"/>
        <v>10092</v>
      </c>
      <c r="E109" s="1">
        <f t="shared" si="8"/>
        <v>0</v>
      </c>
      <c r="F109" s="49">
        <f t="shared" si="9"/>
        <v>0</v>
      </c>
    </row>
    <row r="110" spans="1:6" s="4" customFormat="1" ht="21">
      <c r="A110" s="71" t="s">
        <v>74</v>
      </c>
      <c r="B110" s="2">
        <f t="shared" si="5"/>
        <v>9344.96</v>
      </c>
      <c r="C110" s="1">
        <f t="shared" si="6"/>
        <v>5510</v>
      </c>
      <c r="D110" s="1">
        <f t="shared" si="7"/>
        <v>3834.959999999999</v>
      </c>
      <c r="E110" s="1">
        <f t="shared" si="8"/>
        <v>0</v>
      </c>
      <c r="F110" s="49">
        <f t="shared" si="9"/>
        <v>0</v>
      </c>
    </row>
    <row r="111" spans="1:6" s="18" customFormat="1" ht="21">
      <c r="A111" s="71" t="s">
        <v>76</v>
      </c>
      <c r="B111" s="2">
        <f t="shared" si="5"/>
        <v>51364.8</v>
      </c>
      <c r="C111" s="1">
        <f t="shared" si="6"/>
        <v>23780</v>
      </c>
      <c r="D111" s="1">
        <f t="shared" si="7"/>
        <v>27584.8</v>
      </c>
      <c r="E111" s="1">
        <f t="shared" si="8"/>
        <v>0</v>
      </c>
      <c r="F111" s="49">
        <f t="shared" si="9"/>
        <v>0</v>
      </c>
    </row>
    <row r="112" spans="1:6" s="18" customFormat="1" ht="21">
      <c r="A112" s="71" t="s">
        <v>75</v>
      </c>
      <c r="B112" s="2">
        <f t="shared" si="5"/>
        <v>55408.281599999995</v>
      </c>
      <c r="C112" s="1">
        <f t="shared" si="6"/>
        <v>9744</v>
      </c>
      <c r="D112" s="1">
        <f t="shared" si="7"/>
        <v>42386.399999999994</v>
      </c>
      <c r="E112" s="1">
        <f t="shared" si="8"/>
        <v>3277.8815999999997</v>
      </c>
      <c r="F112" s="49">
        <f t="shared" si="9"/>
        <v>0</v>
      </c>
    </row>
    <row r="113" spans="1:6" s="18" customFormat="1" ht="21">
      <c r="A113" s="71" t="s">
        <v>77</v>
      </c>
      <c r="B113" s="2">
        <f t="shared" si="5"/>
        <v>69519.0784</v>
      </c>
      <c r="C113" s="1">
        <f t="shared" si="6"/>
        <v>0</v>
      </c>
      <c r="D113" s="1">
        <f t="shared" si="7"/>
        <v>53285.759999999995</v>
      </c>
      <c r="E113" s="1">
        <f t="shared" si="8"/>
        <v>16233.318399999998</v>
      </c>
      <c r="F113" s="49">
        <f t="shared" si="9"/>
        <v>0</v>
      </c>
    </row>
    <row r="114" spans="1:6" s="18" customFormat="1" ht="21">
      <c r="A114" s="71" t="s">
        <v>78</v>
      </c>
      <c r="B114" s="2">
        <f t="shared" si="5"/>
        <v>16114.905599999998</v>
      </c>
      <c r="C114" s="1">
        <f t="shared" si="6"/>
        <v>0</v>
      </c>
      <c r="D114" s="1">
        <f t="shared" si="7"/>
        <v>6593.44</v>
      </c>
      <c r="E114" s="1">
        <f t="shared" si="8"/>
        <v>9521.465599999998</v>
      </c>
      <c r="F114" s="49">
        <f t="shared" si="9"/>
        <v>0</v>
      </c>
    </row>
    <row r="115" spans="1:6" s="18" customFormat="1" ht="21">
      <c r="A115" s="71" t="s">
        <v>79</v>
      </c>
      <c r="B115" s="2">
        <f t="shared" si="5"/>
        <v>8229.043711999999</v>
      </c>
      <c r="C115" s="1">
        <f t="shared" si="6"/>
        <v>0</v>
      </c>
      <c r="D115" s="1">
        <f t="shared" si="7"/>
        <v>0</v>
      </c>
      <c r="E115" s="1">
        <f t="shared" si="8"/>
        <v>5150.956799999999</v>
      </c>
      <c r="F115" s="49">
        <f t="shared" si="9"/>
        <v>3078.086911999999</v>
      </c>
    </row>
    <row r="116" spans="1:6" s="18" customFormat="1" ht="21">
      <c r="A116" s="71" t="s">
        <v>89</v>
      </c>
      <c r="B116" s="2">
        <f t="shared" si="5"/>
        <v>74258.18879999997</v>
      </c>
      <c r="C116" s="1">
        <f t="shared" si="6"/>
        <v>12296</v>
      </c>
      <c r="D116" s="1">
        <f t="shared" si="7"/>
        <v>26373.76</v>
      </c>
      <c r="E116" s="1">
        <f t="shared" si="8"/>
        <v>35588.42879999999</v>
      </c>
      <c r="F116" s="49">
        <f t="shared" si="9"/>
        <v>0</v>
      </c>
    </row>
    <row r="117" spans="1:6" s="18" customFormat="1" ht="21">
      <c r="A117" s="71" t="s">
        <v>80</v>
      </c>
      <c r="B117" s="2">
        <f t="shared" si="5"/>
        <v>29219.97311999999</v>
      </c>
      <c r="C117" s="1">
        <f t="shared" si="6"/>
        <v>0</v>
      </c>
      <c r="D117" s="1">
        <f t="shared" si="7"/>
        <v>0</v>
      </c>
      <c r="E117" s="1">
        <f t="shared" si="8"/>
        <v>21072.095999999994</v>
      </c>
      <c r="F117" s="49">
        <f t="shared" si="9"/>
        <v>8147.877119999998</v>
      </c>
    </row>
    <row r="118" spans="1:6" s="25" customFormat="1" ht="21">
      <c r="A118" s="71" t="s">
        <v>81</v>
      </c>
      <c r="B118" s="2">
        <f t="shared" si="5"/>
        <v>19591.935999999994</v>
      </c>
      <c r="C118" s="1">
        <f t="shared" si="6"/>
        <v>0</v>
      </c>
      <c r="D118" s="1">
        <f t="shared" si="7"/>
        <v>4373.199999999999</v>
      </c>
      <c r="E118" s="1">
        <f t="shared" si="8"/>
        <v>15218.735999999997</v>
      </c>
      <c r="F118" s="49">
        <f t="shared" si="9"/>
        <v>0</v>
      </c>
    </row>
    <row r="119" spans="1:6" s="4" customFormat="1" ht="21">
      <c r="A119" s="71" t="s">
        <v>82</v>
      </c>
      <c r="B119" s="2">
        <f t="shared" si="5"/>
        <v>54058.67264</v>
      </c>
      <c r="C119" s="1">
        <f t="shared" si="6"/>
        <v>0</v>
      </c>
      <c r="D119" s="1">
        <f t="shared" si="7"/>
        <v>11774</v>
      </c>
      <c r="E119" s="1">
        <f t="shared" si="8"/>
        <v>32778.816</v>
      </c>
      <c r="F119" s="49">
        <f t="shared" si="9"/>
        <v>9505.856639999998</v>
      </c>
    </row>
    <row r="120" spans="1:6" s="17" customFormat="1" ht="21">
      <c r="A120" s="71" t="s">
        <v>83</v>
      </c>
      <c r="B120" s="2">
        <f t="shared" si="5"/>
        <v>116353.70905599998</v>
      </c>
      <c r="C120" s="1">
        <f t="shared" si="6"/>
        <v>0</v>
      </c>
      <c r="D120" s="1">
        <f t="shared" si="7"/>
        <v>40906.24</v>
      </c>
      <c r="E120" s="1">
        <f t="shared" si="8"/>
        <v>44485.53599999999</v>
      </c>
      <c r="F120" s="49">
        <f t="shared" si="9"/>
        <v>30961.933055999994</v>
      </c>
    </row>
    <row r="121" spans="1:6" s="4" customFormat="1" ht="21">
      <c r="A121" s="71" t="s">
        <v>84</v>
      </c>
      <c r="B121" s="2">
        <f t="shared" si="5"/>
        <v>14214.940671999997</v>
      </c>
      <c r="C121" s="1">
        <f t="shared" si="6"/>
        <v>3305.9999999999995</v>
      </c>
      <c r="D121" s="1">
        <f t="shared" si="7"/>
        <v>3834.959999999999</v>
      </c>
      <c r="E121" s="1">
        <f t="shared" si="8"/>
        <v>4448.553599999998</v>
      </c>
      <c r="F121" s="49">
        <f t="shared" si="9"/>
        <v>2625.427071999999</v>
      </c>
    </row>
    <row r="122" spans="1:6" s="4" customFormat="1" ht="21">
      <c r="A122" s="72" t="s">
        <v>110</v>
      </c>
      <c r="B122" s="2">
        <f t="shared" si="5"/>
        <v>702285.5295999999</v>
      </c>
      <c r="C122" s="2">
        <f>SUM(C106:C121)</f>
        <v>217848</v>
      </c>
      <c r="D122" s="2">
        <f>SUM(D106:D121)</f>
        <v>242342.56</v>
      </c>
      <c r="E122" s="2">
        <f>SUM(E106:E121)</f>
        <v>187775.78879999995</v>
      </c>
      <c r="F122" s="51">
        <f>SUM(F106:F121)</f>
        <v>54319.18079999999</v>
      </c>
    </row>
    <row r="123" spans="1:6" s="19" customFormat="1" ht="21">
      <c r="A123" s="71" t="s">
        <v>85</v>
      </c>
      <c r="B123" s="2">
        <f t="shared" si="5"/>
        <v>28091.421184</v>
      </c>
      <c r="C123" s="1">
        <f>0.04*C122</f>
        <v>8713.92</v>
      </c>
      <c r="D123" s="1">
        <f>0.04*D122</f>
        <v>9693.7024</v>
      </c>
      <c r="E123" s="1">
        <f>0.04*E122</f>
        <v>7511.031551999999</v>
      </c>
      <c r="F123" s="49">
        <f>0.04*F122</f>
        <v>2172.7672319999997</v>
      </c>
    </row>
    <row r="124" spans="1:6" s="19" customFormat="1" ht="21">
      <c r="A124" s="71" t="s">
        <v>86</v>
      </c>
      <c r="B124" s="2">
        <f t="shared" si="5"/>
        <v>105342.82944</v>
      </c>
      <c r="C124" s="1">
        <f>0.15*C122</f>
        <v>32677.199999999997</v>
      </c>
      <c r="D124" s="1">
        <f>0.15*D122</f>
        <v>36351.384</v>
      </c>
      <c r="E124" s="1">
        <f>0.15*E122</f>
        <v>28166.36831999999</v>
      </c>
      <c r="F124" s="49">
        <f>0.15*F122</f>
        <v>8147.877119999997</v>
      </c>
    </row>
    <row r="125" spans="1:6" s="19" customFormat="1" ht="21">
      <c r="A125" s="72" t="s">
        <v>88</v>
      </c>
      <c r="B125" s="2">
        <f t="shared" si="5"/>
        <v>835719.780224</v>
      </c>
      <c r="C125" s="2">
        <f>SUM(C122:C124)</f>
        <v>259239.12</v>
      </c>
      <c r="D125" s="2">
        <f>SUM(D122:D124)</f>
        <v>288387.6464</v>
      </c>
      <c r="E125" s="2">
        <f>SUM(E122:E124)</f>
        <v>223453.18867199993</v>
      </c>
      <c r="F125" s="51">
        <f>SUM(F122:F124)</f>
        <v>64639.82515199998</v>
      </c>
    </row>
    <row r="126" spans="1:6" s="19" customFormat="1" ht="21">
      <c r="A126" s="71"/>
      <c r="B126" s="1"/>
      <c r="C126" s="1"/>
      <c r="D126" s="1"/>
      <c r="E126" s="1"/>
      <c r="F126" s="49"/>
    </row>
    <row r="127" spans="1:6" s="19" customFormat="1" ht="21">
      <c r="A127" s="65" t="s">
        <v>137</v>
      </c>
      <c r="B127" s="3" t="s">
        <v>27</v>
      </c>
      <c r="C127" s="2"/>
      <c r="D127" s="2"/>
      <c r="E127" s="2"/>
      <c r="F127" s="51"/>
    </row>
    <row r="128" spans="1:6" s="19" customFormat="1" ht="21">
      <c r="A128" s="71" t="s">
        <v>129</v>
      </c>
      <c r="B128" s="20">
        <f aca="true" t="shared" si="10" ref="B128:B147">SUM(C128:F128)</f>
        <v>0.003608865161946525</v>
      </c>
      <c r="C128" s="16">
        <f aca="true" t="shared" si="11" ref="C128:F147">C106/$B$125</f>
        <v>0.003608865161946525</v>
      </c>
      <c r="D128" s="16">
        <f t="shared" si="11"/>
        <v>0</v>
      </c>
      <c r="E128" s="16">
        <f t="shared" si="11"/>
        <v>0</v>
      </c>
      <c r="F128" s="48">
        <f t="shared" si="11"/>
        <v>0</v>
      </c>
    </row>
    <row r="129" spans="1:6" s="19" customFormat="1" ht="21">
      <c r="A129" s="71" t="s">
        <v>71</v>
      </c>
      <c r="B129" s="20">
        <f t="shared" si="10"/>
        <v>0.022208400996594</v>
      </c>
      <c r="C129" s="16">
        <f t="shared" si="11"/>
        <v>0.022208400996594</v>
      </c>
      <c r="D129" s="16">
        <f t="shared" si="11"/>
        <v>0</v>
      </c>
      <c r="E129" s="16">
        <f t="shared" si="11"/>
        <v>0</v>
      </c>
      <c r="F129" s="48">
        <f t="shared" si="11"/>
        <v>0</v>
      </c>
    </row>
    <row r="130" spans="1:6" s="19" customFormat="1" ht="21">
      <c r="A130" s="71" t="s">
        <v>72</v>
      </c>
      <c r="B130" s="20">
        <f t="shared" si="10"/>
        <v>0.1517722124107234</v>
      </c>
      <c r="C130" s="16">
        <f t="shared" si="11"/>
        <v>0.13824729620379764</v>
      </c>
      <c r="D130" s="16">
        <f t="shared" si="11"/>
        <v>0.013524916206925745</v>
      </c>
      <c r="E130" s="16">
        <f t="shared" si="11"/>
        <v>0</v>
      </c>
      <c r="F130" s="48">
        <f t="shared" si="11"/>
        <v>0</v>
      </c>
    </row>
    <row r="131" spans="1:6" s="19" customFormat="1" ht="21">
      <c r="A131" s="71" t="s">
        <v>73</v>
      </c>
      <c r="B131" s="20">
        <f t="shared" si="10"/>
        <v>0.0433063819433583</v>
      </c>
      <c r="C131" s="16">
        <f t="shared" si="11"/>
        <v>0.031230563901460312</v>
      </c>
      <c r="D131" s="16">
        <f t="shared" si="11"/>
        <v>0.012075818041897987</v>
      </c>
      <c r="E131" s="16">
        <f t="shared" si="11"/>
        <v>0</v>
      </c>
      <c r="F131" s="48">
        <f t="shared" si="11"/>
        <v>0</v>
      </c>
    </row>
    <row r="132" spans="1:6" s="17" customFormat="1" ht="21">
      <c r="A132" s="71" t="s">
        <v>74</v>
      </c>
      <c r="B132" s="20">
        <f t="shared" si="10"/>
        <v>0.011181929901785077</v>
      </c>
      <c r="C132" s="16">
        <f t="shared" si="11"/>
        <v>0.006593119045863844</v>
      </c>
      <c r="D132" s="16">
        <f t="shared" si="11"/>
        <v>0.0045888108559212345</v>
      </c>
      <c r="E132" s="16">
        <f t="shared" si="11"/>
        <v>0</v>
      </c>
      <c r="F132" s="48">
        <f t="shared" si="11"/>
        <v>0</v>
      </c>
    </row>
    <row r="133" spans="1:6" s="21" customFormat="1" ht="21">
      <c r="A133" s="71" t="s">
        <v>76</v>
      </c>
      <c r="B133" s="20">
        <f t="shared" si="10"/>
        <v>0.06146174975807389</v>
      </c>
      <c r="C133" s="16">
        <f t="shared" si="11"/>
        <v>0.028454513776886063</v>
      </c>
      <c r="D133" s="16">
        <f t="shared" si="11"/>
        <v>0.03300723598118783</v>
      </c>
      <c r="E133" s="16">
        <f t="shared" si="11"/>
        <v>0</v>
      </c>
      <c r="F133" s="48">
        <f t="shared" si="11"/>
        <v>0</v>
      </c>
    </row>
    <row r="134" spans="1:6" s="21" customFormat="1" ht="21">
      <c r="A134" s="71" t="s">
        <v>75</v>
      </c>
      <c r="B134" s="20">
        <f t="shared" si="10"/>
        <v>0.06630007199919186</v>
      </c>
      <c r="C134" s="16">
        <f t="shared" si="11"/>
        <v>0.01165941052321185</v>
      </c>
      <c r="D134" s="16">
        <f t="shared" si="11"/>
        <v>0.05071843577597154</v>
      </c>
      <c r="E134" s="16">
        <f t="shared" si="11"/>
        <v>0.003922225700008466</v>
      </c>
      <c r="F134" s="48">
        <f t="shared" si="11"/>
        <v>0</v>
      </c>
    </row>
    <row r="135" spans="1:6" s="18" customFormat="1" ht="21">
      <c r="A135" s="71" t="s">
        <v>77</v>
      </c>
      <c r="B135" s="20">
        <f t="shared" si="10"/>
        <v>0.08318467510888235</v>
      </c>
      <c r="C135" s="16">
        <f t="shared" si="11"/>
        <v>0</v>
      </c>
      <c r="D135" s="16">
        <f t="shared" si="11"/>
        <v>0.06376031926122137</v>
      </c>
      <c r="E135" s="16">
        <f t="shared" si="11"/>
        <v>0.019424355847660973</v>
      </c>
      <c r="F135" s="48">
        <f t="shared" si="11"/>
        <v>0</v>
      </c>
    </row>
    <row r="136" spans="1:6" s="18" customFormat="1" ht="21">
      <c r="A136" s="71" t="s">
        <v>78</v>
      </c>
      <c r="B136" s="20">
        <f t="shared" si="10"/>
        <v>0.0192826662493027</v>
      </c>
      <c r="C136" s="16">
        <f t="shared" si="11"/>
        <v>0</v>
      </c>
      <c r="D136" s="16">
        <f t="shared" si="11"/>
        <v>0.007889534454040018</v>
      </c>
      <c r="E136" s="16">
        <f t="shared" si="11"/>
        <v>0.011393131795262685</v>
      </c>
      <c r="F136" s="48">
        <f t="shared" si="11"/>
        <v>0</v>
      </c>
    </row>
    <row r="137" spans="1:6" s="18" customFormat="1" ht="21">
      <c r="A137" s="71" t="s">
        <v>79</v>
      </c>
      <c r="B137" s="20">
        <f t="shared" si="10"/>
        <v>0.009846654233545062</v>
      </c>
      <c r="C137" s="16">
        <f t="shared" si="11"/>
        <v>0</v>
      </c>
      <c r="D137" s="16">
        <f t="shared" si="11"/>
        <v>0</v>
      </c>
      <c r="E137" s="16">
        <f t="shared" si="11"/>
        <v>0.006163497528584732</v>
      </c>
      <c r="F137" s="48">
        <f t="shared" si="11"/>
        <v>0.00368315670496033</v>
      </c>
    </row>
    <row r="138" spans="1:6" s="18" customFormat="1" ht="21">
      <c r="A138" s="71" t="s">
        <v>89</v>
      </c>
      <c r="B138" s="20">
        <f t="shared" si="10"/>
        <v>0.08885536821935264</v>
      </c>
      <c r="C138" s="16">
        <f t="shared" si="11"/>
        <v>0.014713065660243526</v>
      </c>
      <c r="D138" s="16">
        <f t="shared" si="11"/>
        <v>0.03155813781616007</v>
      </c>
      <c r="E138" s="16">
        <f t="shared" si="11"/>
        <v>0.04258416474294905</v>
      </c>
      <c r="F138" s="48">
        <f t="shared" si="11"/>
        <v>0</v>
      </c>
    </row>
    <row r="139" spans="1:6" s="18" customFormat="1" ht="21">
      <c r="A139" s="71" t="s">
        <v>80</v>
      </c>
      <c r="B139" s="20">
        <f t="shared" si="10"/>
        <v>0.03496384052578975</v>
      </c>
      <c r="C139" s="16">
        <f t="shared" si="11"/>
        <v>0</v>
      </c>
      <c r="D139" s="16">
        <f t="shared" si="11"/>
        <v>0</v>
      </c>
      <c r="E139" s="16">
        <f t="shared" si="11"/>
        <v>0.02521430807148299</v>
      </c>
      <c r="F139" s="48">
        <f t="shared" si="11"/>
        <v>0.009749532454306757</v>
      </c>
    </row>
    <row r="140" spans="1:6" s="18" customFormat="1" ht="21">
      <c r="A140" s="71" t="s">
        <v>81</v>
      </c>
      <c r="B140" s="20">
        <f t="shared" si="10"/>
        <v>0.023443188092004623</v>
      </c>
      <c r="C140" s="16">
        <f t="shared" si="11"/>
        <v>0</v>
      </c>
      <c r="D140" s="16">
        <f t="shared" si="11"/>
        <v>0.00523285448482246</v>
      </c>
      <c r="E140" s="16">
        <f t="shared" si="11"/>
        <v>0.01821033360718216</v>
      </c>
      <c r="F140" s="48">
        <f t="shared" si="11"/>
        <v>0</v>
      </c>
    </row>
    <row r="141" spans="1:6" s="18" customFormat="1" ht="21">
      <c r="A141" s="71" t="s">
        <v>82</v>
      </c>
      <c r="B141" s="20">
        <f t="shared" si="10"/>
        <v>0.06468516591232353</v>
      </c>
      <c r="C141" s="16">
        <f t="shared" si="11"/>
        <v>0</v>
      </c>
      <c r="D141" s="16">
        <f t="shared" si="11"/>
        <v>0.01408845438221432</v>
      </c>
      <c r="E141" s="16">
        <f t="shared" si="11"/>
        <v>0.039222257000084665</v>
      </c>
      <c r="F141" s="48">
        <f t="shared" si="11"/>
        <v>0.01137445453002455</v>
      </c>
    </row>
    <row r="142" spans="1:6" s="18" customFormat="1" ht="21">
      <c r="A142" s="71" t="s">
        <v>83</v>
      </c>
      <c r="B142" s="20">
        <f t="shared" si="10"/>
        <v>0.13922574505154517</v>
      </c>
      <c r="C142" s="16">
        <f t="shared" si="11"/>
        <v>0</v>
      </c>
      <c r="D142" s="16">
        <f t="shared" si="11"/>
        <v>0.048947315796493175</v>
      </c>
      <c r="E142" s="16">
        <f t="shared" si="11"/>
        <v>0.05323020592868632</v>
      </c>
      <c r="F142" s="48">
        <f t="shared" si="11"/>
        <v>0.037048223326365676</v>
      </c>
    </row>
    <row r="143" spans="1:6" s="18" customFormat="1" ht="21">
      <c r="A143" s="71" t="s">
        <v>84</v>
      </c>
      <c r="B143" s="20">
        <f t="shared" si="10"/>
        <v>0.01700921888936257</v>
      </c>
      <c r="C143" s="16">
        <f t="shared" si="11"/>
        <v>0.003955871427518306</v>
      </c>
      <c r="D143" s="16">
        <f t="shared" si="11"/>
        <v>0.0045888108559212345</v>
      </c>
      <c r="E143" s="16">
        <f t="shared" si="11"/>
        <v>0.005323020592868631</v>
      </c>
      <c r="F143" s="48">
        <f t="shared" si="11"/>
        <v>0.003141516013054399</v>
      </c>
    </row>
    <row r="144" spans="1:6" s="18" customFormat="1" ht="21">
      <c r="A144" s="72" t="s">
        <v>110</v>
      </c>
      <c r="B144" s="20">
        <f t="shared" si="10"/>
        <v>0.8403361344537814</v>
      </c>
      <c r="C144" s="20">
        <f t="shared" si="11"/>
        <v>0.2606711066975221</v>
      </c>
      <c r="D144" s="20">
        <f t="shared" si="11"/>
        <v>0.289980643912777</v>
      </c>
      <c r="E144" s="20">
        <f t="shared" si="11"/>
        <v>0.22468750081477065</v>
      </c>
      <c r="F144" s="52">
        <f t="shared" si="11"/>
        <v>0.06499688302871172</v>
      </c>
    </row>
    <row r="145" spans="1:6" s="18" customFormat="1" ht="21">
      <c r="A145" s="71" t="s">
        <v>85</v>
      </c>
      <c r="B145" s="20">
        <f t="shared" si="10"/>
        <v>0.03361344537815126</v>
      </c>
      <c r="C145" s="16">
        <f t="shared" si="11"/>
        <v>0.010426844267900883</v>
      </c>
      <c r="D145" s="16">
        <f t="shared" si="11"/>
        <v>0.01159922575651108</v>
      </c>
      <c r="E145" s="16">
        <f t="shared" si="11"/>
        <v>0.008987500032590827</v>
      </c>
      <c r="F145" s="48">
        <f t="shared" si="11"/>
        <v>0.0025998753211484687</v>
      </c>
    </row>
    <row r="146" spans="1:6" s="18" customFormat="1" ht="21">
      <c r="A146" s="71" t="s">
        <v>86</v>
      </c>
      <c r="B146" s="20">
        <f t="shared" si="10"/>
        <v>0.12605042016806722</v>
      </c>
      <c r="C146" s="16">
        <f t="shared" si="11"/>
        <v>0.03910066600462831</v>
      </c>
      <c r="D146" s="16">
        <f t="shared" si="11"/>
        <v>0.04349709658691655</v>
      </c>
      <c r="E146" s="16">
        <f t="shared" si="11"/>
        <v>0.0337031251222156</v>
      </c>
      <c r="F146" s="48">
        <f t="shared" si="11"/>
        <v>0.009749532454306755</v>
      </c>
    </row>
    <row r="147" spans="1:6" s="18" customFormat="1" ht="21">
      <c r="A147" s="72" t="s">
        <v>88</v>
      </c>
      <c r="B147" s="20">
        <f t="shared" si="10"/>
        <v>0.9999999999999998</v>
      </c>
      <c r="C147" s="20">
        <f t="shared" si="11"/>
        <v>0.31019861697005124</v>
      </c>
      <c r="D147" s="20">
        <f t="shared" si="11"/>
        <v>0.34507696625620465</v>
      </c>
      <c r="E147" s="20">
        <f t="shared" si="11"/>
        <v>0.26737812596957705</v>
      </c>
      <c r="F147" s="52">
        <f t="shared" si="11"/>
        <v>0.07734629080416694</v>
      </c>
    </row>
    <row r="148" spans="1:6" s="18" customFormat="1" ht="21">
      <c r="A148" s="72"/>
      <c r="B148" s="42"/>
      <c r="C148" s="42"/>
      <c r="D148" s="42"/>
      <c r="E148" s="42"/>
      <c r="F148" s="53"/>
    </row>
    <row r="149" spans="1:6" s="18" customFormat="1" ht="21">
      <c r="A149" s="65" t="s">
        <v>58</v>
      </c>
      <c r="B149" s="3"/>
      <c r="C149" s="2"/>
      <c r="D149" s="2"/>
      <c r="E149" s="2"/>
      <c r="F149" s="51"/>
    </row>
    <row r="150" spans="1:6" s="18" customFormat="1" ht="21">
      <c r="A150" s="71" t="s">
        <v>31</v>
      </c>
      <c r="B150" s="6"/>
      <c r="C150" s="1">
        <v>0</v>
      </c>
      <c r="D150" s="1">
        <f>C154</f>
        <v>44640</v>
      </c>
      <c r="E150" s="1">
        <f>D154</f>
        <v>55353.6</v>
      </c>
      <c r="F150" s="49">
        <f>E154</f>
        <v>0</v>
      </c>
    </row>
    <row r="151" spans="1:6" s="18" customFormat="1" ht="21">
      <c r="A151" s="71" t="s">
        <v>32</v>
      </c>
      <c r="B151" s="6"/>
      <c r="C151" s="1">
        <f>C21</f>
        <v>36000</v>
      </c>
      <c r="D151" s="1">
        <f>D21</f>
        <v>0</v>
      </c>
      <c r="E151" s="1">
        <f>E21</f>
        <v>0</v>
      </c>
      <c r="F151" s="49">
        <v>0</v>
      </c>
    </row>
    <row r="152" spans="1:6" s="18" customFormat="1" ht="21">
      <c r="A152" s="71" t="s">
        <v>28</v>
      </c>
      <c r="B152" s="6"/>
      <c r="C152" s="1">
        <v>0</v>
      </c>
      <c r="D152" s="1">
        <v>0</v>
      </c>
      <c r="E152" s="1">
        <f>D154</f>
        <v>55353.6</v>
      </c>
      <c r="F152" s="49">
        <f>E154</f>
        <v>0</v>
      </c>
    </row>
    <row r="153" spans="1:6" s="18" customFormat="1" ht="21">
      <c r="A153" s="71" t="s">
        <v>64</v>
      </c>
      <c r="B153" s="6"/>
      <c r="C153" s="1">
        <f>(0.02+C14)*(C151+C150-C152)</f>
        <v>8640</v>
      </c>
      <c r="D153" s="1">
        <f>(0.02+D14)*(D151+D150-D152)</f>
        <v>10713.6</v>
      </c>
      <c r="E153" s="1">
        <f>(0.02+E14)*(E151+E150-E152)</f>
        <v>0</v>
      </c>
      <c r="F153" s="49">
        <f>(0.02+F14)*(F151+F150-F152)</f>
        <v>0</v>
      </c>
    </row>
    <row r="154" spans="1:6" s="18" customFormat="1" ht="21">
      <c r="A154" s="71" t="s">
        <v>30</v>
      </c>
      <c r="B154" s="6"/>
      <c r="C154" s="1">
        <f>C150-C152+C153+C151</f>
        <v>44640</v>
      </c>
      <c r="D154" s="1">
        <f>D150-D152+D153+D151</f>
        <v>55353.6</v>
      </c>
      <c r="E154" s="1">
        <f>E150-E152+E153+E151</f>
        <v>0</v>
      </c>
      <c r="F154" s="49">
        <f>F150-F152+F153+F151</f>
        <v>0</v>
      </c>
    </row>
    <row r="155" spans="1:6" s="18" customFormat="1" ht="21">
      <c r="A155" s="72"/>
      <c r="B155" s="2"/>
      <c r="C155" s="2"/>
      <c r="D155" s="2"/>
      <c r="E155" s="2"/>
      <c r="F155" s="51"/>
    </row>
    <row r="156" spans="1:6" s="18" customFormat="1" ht="21">
      <c r="A156" s="65" t="s">
        <v>131</v>
      </c>
      <c r="B156" s="3"/>
      <c r="C156" s="20"/>
      <c r="D156" s="20"/>
      <c r="E156" s="20"/>
      <c r="F156" s="52"/>
    </row>
    <row r="157" spans="1:6" s="18" customFormat="1" ht="21">
      <c r="A157" s="71" t="s">
        <v>48</v>
      </c>
      <c r="B157" s="2">
        <f aca="true" t="shared" si="12" ref="B157:B162">SUM(C157:F157)</f>
        <v>1301335.2499502623</v>
      </c>
      <c r="C157" s="1">
        <f>B20</f>
        <v>1301335.2499502623</v>
      </c>
      <c r="D157" s="1">
        <f>C20</f>
        <v>0</v>
      </c>
      <c r="E157" s="1">
        <f>D20</f>
        <v>0</v>
      </c>
      <c r="F157" s="49">
        <f>E20</f>
        <v>0</v>
      </c>
    </row>
    <row r="158" spans="1:6" s="18" customFormat="1" ht="21">
      <c r="A158" s="71" t="s">
        <v>96</v>
      </c>
      <c r="B158" s="2">
        <f t="shared" si="12"/>
        <v>835719.780224</v>
      </c>
      <c r="C158" s="1">
        <f>C125</f>
        <v>259239.12</v>
      </c>
      <c r="D158" s="1">
        <f>D125</f>
        <v>288387.6464</v>
      </c>
      <c r="E158" s="1">
        <f>E125</f>
        <v>223453.18867199993</v>
      </c>
      <c r="F158" s="49">
        <f>F125</f>
        <v>64639.82515199998</v>
      </c>
    </row>
    <row r="159" spans="1:6" s="18" customFormat="1" ht="21">
      <c r="A159" s="71" t="s">
        <v>87</v>
      </c>
      <c r="B159" s="2">
        <f t="shared" si="12"/>
        <v>41785.9890112</v>
      </c>
      <c r="C159" s="1">
        <f>0.05*C125</f>
        <v>12961.956</v>
      </c>
      <c r="D159" s="1">
        <f>0.05*D125</f>
        <v>14419.382320000002</v>
      </c>
      <c r="E159" s="1">
        <f>0.05*E125</f>
        <v>11172.659433599998</v>
      </c>
      <c r="F159" s="49">
        <f>0.05*F125</f>
        <v>3231.9912575999992</v>
      </c>
    </row>
    <row r="160" spans="1:6" s="18" customFormat="1" ht="21">
      <c r="A160" s="71" t="s">
        <v>97</v>
      </c>
      <c r="B160" s="2">
        <f t="shared" si="12"/>
        <v>19353.6</v>
      </c>
      <c r="C160" s="1">
        <f>C153</f>
        <v>8640</v>
      </c>
      <c r="D160" s="1">
        <f>D153</f>
        <v>10713.6</v>
      </c>
      <c r="E160" s="1">
        <f>E153</f>
        <v>0</v>
      </c>
      <c r="F160" s="49">
        <f>F153</f>
        <v>0</v>
      </c>
    </row>
    <row r="161" spans="1:6" s="18" customFormat="1" ht="21">
      <c r="A161" s="71" t="s">
        <v>98</v>
      </c>
      <c r="B161" s="2">
        <f t="shared" si="12"/>
        <v>16714.39560448</v>
      </c>
      <c r="C161" s="1">
        <f>0.02*C158</f>
        <v>5184.7824</v>
      </c>
      <c r="D161" s="1">
        <f>0.02*D158</f>
        <v>5767.752928000001</v>
      </c>
      <c r="E161" s="1">
        <f>0.02*E158</f>
        <v>4469.063773439999</v>
      </c>
      <c r="F161" s="49">
        <f>0.02*F158</f>
        <v>1292.7965030399996</v>
      </c>
    </row>
    <row r="162" spans="1:6" s="17" customFormat="1" ht="21">
      <c r="A162" s="75" t="s">
        <v>50</v>
      </c>
      <c r="B162" s="2">
        <f t="shared" si="12"/>
        <v>2214909.014789942</v>
      </c>
      <c r="C162" s="7">
        <f>SUM(C157:C161)</f>
        <v>1587361.1083502623</v>
      </c>
      <c r="D162" s="7">
        <f>SUM(D157:D161)</f>
        <v>319288.381648</v>
      </c>
      <c r="E162" s="7">
        <f>SUM(E157:E161)</f>
        <v>239094.91187903992</v>
      </c>
      <c r="F162" s="54">
        <f>SUM(F157:F161)</f>
        <v>69164.61291263998</v>
      </c>
    </row>
    <row r="163" spans="1:6" s="17" customFormat="1" ht="21">
      <c r="A163" s="71"/>
      <c r="B163" s="1"/>
      <c r="C163" s="1"/>
      <c r="D163" s="1"/>
      <c r="E163" s="1"/>
      <c r="F163" s="49"/>
    </row>
    <row r="164" spans="1:6" s="4" customFormat="1" ht="21">
      <c r="A164" s="65" t="s">
        <v>18</v>
      </c>
      <c r="B164" s="3"/>
      <c r="C164" s="18"/>
      <c r="D164" s="18"/>
      <c r="E164" s="2"/>
      <c r="F164" s="51"/>
    </row>
    <row r="165" spans="1:6" s="21" customFormat="1" ht="21">
      <c r="A165" s="71" t="s">
        <v>48</v>
      </c>
      <c r="B165" s="20">
        <f aca="true" t="shared" si="13" ref="B165:B170">SUM(C165:F165)</f>
        <v>0.5875344049171602</v>
      </c>
      <c r="C165" s="16">
        <f aca="true" t="shared" si="14" ref="C165:F170">C157/$B$162</f>
        <v>0.5875344049171602</v>
      </c>
      <c r="D165" s="16">
        <f t="shared" si="14"/>
        <v>0</v>
      </c>
      <c r="E165" s="16">
        <f t="shared" si="14"/>
        <v>0</v>
      </c>
      <c r="F165" s="48">
        <f t="shared" si="14"/>
        <v>0</v>
      </c>
    </row>
    <row r="166" spans="1:6" s="17" customFormat="1" ht="21">
      <c r="A166" s="71" t="s">
        <v>49</v>
      </c>
      <c r="B166" s="20">
        <f t="shared" si="13"/>
        <v>0.37731562544715097</v>
      </c>
      <c r="C166" s="16">
        <f t="shared" si="14"/>
        <v>0.11704278517489611</v>
      </c>
      <c r="D166" s="16">
        <f t="shared" si="14"/>
        <v>0.1302029313503653</v>
      </c>
      <c r="E166" s="16">
        <f t="shared" si="14"/>
        <v>0.10088594483109808</v>
      </c>
      <c r="F166" s="48">
        <f t="shared" si="14"/>
        <v>0.029183964090791468</v>
      </c>
    </row>
    <row r="167" spans="1:6" s="4" customFormat="1" ht="21">
      <c r="A167" s="71" t="s">
        <v>87</v>
      </c>
      <c r="B167" s="20">
        <f t="shared" si="13"/>
        <v>0.018865781272357548</v>
      </c>
      <c r="C167" s="16">
        <f t="shared" si="14"/>
        <v>0.005852139258744806</v>
      </c>
      <c r="D167" s="16">
        <f t="shared" si="14"/>
        <v>0.006510146567518264</v>
      </c>
      <c r="E167" s="16">
        <f t="shared" si="14"/>
        <v>0.005044297241554905</v>
      </c>
      <c r="F167" s="48">
        <f t="shared" si="14"/>
        <v>0.0014591982045395735</v>
      </c>
    </row>
    <row r="168" spans="1:6" s="4" customFormat="1" ht="21">
      <c r="A168" s="71" t="s">
        <v>14</v>
      </c>
      <c r="B168" s="20">
        <f t="shared" si="13"/>
        <v>0.008737875854388294</v>
      </c>
      <c r="C168" s="16">
        <f t="shared" si="14"/>
        <v>0.003900837434994774</v>
      </c>
      <c r="D168" s="16">
        <f t="shared" si="14"/>
        <v>0.00483703841939352</v>
      </c>
      <c r="E168" s="16">
        <f t="shared" si="14"/>
        <v>0</v>
      </c>
      <c r="F168" s="48">
        <f t="shared" si="14"/>
        <v>0</v>
      </c>
    </row>
    <row r="169" spans="1:6" s="4" customFormat="1" ht="21">
      <c r="A169" s="71" t="s">
        <v>15</v>
      </c>
      <c r="B169" s="20">
        <f t="shared" si="13"/>
        <v>0.007546312508943019</v>
      </c>
      <c r="C169" s="16">
        <f t="shared" si="14"/>
        <v>0.0023408557034979224</v>
      </c>
      <c r="D169" s="16">
        <f t="shared" si="14"/>
        <v>0.0026040586270073057</v>
      </c>
      <c r="E169" s="16">
        <f t="shared" si="14"/>
        <v>0.002017718896621962</v>
      </c>
      <c r="F169" s="48">
        <f t="shared" si="14"/>
        <v>0.0005836792818158294</v>
      </c>
    </row>
    <row r="170" spans="1:6" s="45" customFormat="1" ht="21">
      <c r="A170" s="72" t="s">
        <v>3</v>
      </c>
      <c r="B170" s="20">
        <f t="shared" si="13"/>
        <v>0.9999999999999999</v>
      </c>
      <c r="C170" s="20">
        <f t="shared" si="14"/>
        <v>0.7166710224892938</v>
      </c>
      <c r="D170" s="20">
        <f t="shared" si="14"/>
        <v>0.14415417496428434</v>
      </c>
      <c r="E170" s="20">
        <f t="shared" si="14"/>
        <v>0.10794796096927496</v>
      </c>
      <c r="F170" s="52">
        <f t="shared" si="14"/>
        <v>0.03122684157714687</v>
      </c>
    </row>
    <row r="171" spans="1:6" s="17" customFormat="1" ht="21">
      <c r="A171" s="71"/>
      <c r="B171" s="1"/>
      <c r="C171" s="1"/>
      <c r="D171" s="1"/>
      <c r="E171" s="1"/>
      <c r="F171" s="49"/>
    </row>
    <row r="172" spans="1:6" s="4" customFormat="1" ht="21">
      <c r="A172" s="65" t="s">
        <v>91</v>
      </c>
      <c r="B172" s="27" t="s">
        <v>27</v>
      </c>
      <c r="C172" s="22"/>
      <c r="D172" s="22"/>
      <c r="E172" s="22"/>
      <c r="F172" s="55"/>
    </row>
    <row r="173" spans="1:6" s="21" customFormat="1" ht="21">
      <c r="A173" s="71" t="s">
        <v>94</v>
      </c>
      <c r="B173" s="2">
        <f>SUM(C173:F173)</f>
        <v>2168178.843647999</v>
      </c>
      <c r="C173" s="1">
        <f>C27*C26</f>
        <v>242207.99999999997</v>
      </c>
      <c r="D173" s="1">
        <f>D27*D26</f>
        <v>374615.0399999999</v>
      </c>
      <c r="E173" s="1">
        <f>E27*E26</f>
        <v>543191.8079999998</v>
      </c>
      <c r="F173" s="49">
        <f>F27*F26</f>
        <v>1008163.9956479996</v>
      </c>
    </row>
    <row r="174" spans="1:6" s="4" customFormat="1" ht="21">
      <c r="A174" s="76" t="s">
        <v>93</v>
      </c>
      <c r="B174" s="42">
        <f>SUM(C174:F174)</f>
        <v>1</v>
      </c>
      <c r="C174" s="16">
        <f>C173/$B$173</f>
        <v>0.11171034193493039</v>
      </c>
      <c r="D174" s="16">
        <f>D173/$B$173</f>
        <v>0.17277866219269233</v>
      </c>
      <c r="E174" s="16">
        <f>E173/$B$173</f>
        <v>0.25052906017940385</v>
      </c>
      <c r="F174" s="48">
        <f>F173/$B$173</f>
        <v>0.46498193569297347</v>
      </c>
    </row>
    <row r="175" spans="1:6" s="18" customFormat="1" ht="21">
      <c r="A175" s="66"/>
      <c r="B175" s="12"/>
      <c r="C175" s="22"/>
      <c r="D175" s="22"/>
      <c r="E175" s="22"/>
      <c r="F175" s="55"/>
    </row>
    <row r="176" spans="1:6" s="4" customFormat="1" ht="21">
      <c r="A176" s="65" t="s">
        <v>95</v>
      </c>
      <c r="B176" s="3"/>
      <c r="C176" s="1"/>
      <c r="D176" s="1"/>
      <c r="E176" s="1"/>
      <c r="F176" s="49"/>
    </row>
    <row r="177" spans="1:6" s="4" customFormat="1" ht="21">
      <c r="A177" s="71" t="s">
        <v>48</v>
      </c>
      <c r="B177" s="2">
        <f>SUM(C177:F177)</f>
        <v>1301335.2499502623</v>
      </c>
      <c r="C177" s="1">
        <f>B20</f>
        <v>1301335.2499502623</v>
      </c>
      <c r="D177" s="1">
        <f>C20</f>
        <v>0</v>
      </c>
      <c r="E177" s="1">
        <f>D20</f>
        <v>0</v>
      </c>
      <c r="F177" s="49">
        <f>E20</f>
        <v>0</v>
      </c>
    </row>
    <row r="178" spans="1:6" s="4" customFormat="1" ht="21">
      <c r="A178" s="71" t="s">
        <v>49</v>
      </c>
      <c r="B178" s="2">
        <f>SUM(C178:F178)</f>
        <v>835719.780224</v>
      </c>
      <c r="C178" s="1">
        <f>C158</f>
        <v>259239.12</v>
      </c>
      <c r="D178" s="1">
        <f>D158</f>
        <v>288387.6464</v>
      </c>
      <c r="E178" s="1">
        <f>E158</f>
        <v>223453.18867199993</v>
      </c>
      <c r="F178" s="49">
        <f>F158</f>
        <v>64639.82515199998</v>
      </c>
    </row>
    <row r="179" spans="1:6" s="4" customFormat="1" ht="21">
      <c r="A179" s="72" t="s">
        <v>3</v>
      </c>
      <c r="B179" s="2">
        <f>SUM(C179:F179)</f>
        <v>2137055.0301742624</v>
      </c>
      <c r="C179" s="2">
        <f>SUM(C177:C178)</f>
        <v>1560574.3699502624</v>
      </c>
      <c r="D179" s="2">
        <f>SUM(D177:D178)</f>
        <v>288387.6464</v>
      </c>
      <c r="E179" s="2">
        <f>SUM(E177:E178)</f>
        <v>223453.18867199993</v>
      </c>
      <c r="F179" s="51">
        <f>SUM(F177:F178)</f>
        <v>64639.82515199998</v>
      </c>
    </row>
    <row r="180" spans="1:6" ht="21">
      <c r="A180" s="72"/>
      <c r="B180" s="2"/>
      <c r="C180" s="2"/>
      <c r="D180" s="2"/>
      <c r="E180" s="2"/>
      <c r="F180" s="51"/>
    </row>
    <row r="181" spans="1:6" ht="21">
      <c r="A181" s="65" t="s">
        <v>65</v>
      </c>
      <c r="B181" s="3"/>
      <c r="C181" s="1"/>
      <c r="D181" s="1"/>
      <c r="E181" s="1"/>
      <c r="F181" s="49"/>
    </row>
    <row r="182" spans="1:6" ht="21">
      <c r="A182" s="71" t="s">
        <v>87</v>
      </c>
      <c r="B182" s="2">
        <f>SUM(C182:F182)</f>
        <v>41785.9890112</v>
      </c>
      <c r="C182" s="1">
        <f aca="true" t="shared" si="15" ref="C182:F184">C159</f>
        <v>12961.956</v>
      </c>
      <c r="D182" s="1">
        <f t="shared" si="15"/>
        <v>14419.382320000002</v>
      </c>
      <c r="E182" s="1">
        <f t="shared" si="15"/>
        <v>11172.659433599998</v>
      </c>
      <c r="F182" s="49">
        <f t="shared" si="15"/>
        <v>3231.9912575999992</v>
      </c>
    </row>
    <row r="183" spans="1:6" ht="21">
      <c r="A183" s="71" t="s">
        <v>14</v>
      </c>
      <c r="B183" s="2">
        <f>SUM(C183:F183)</f>
        <v>19353.6</v>
      </c>
      <c r="C183" s="1">
        <f t="shared" si="15"/>
        <v>8640</v>
      </c>
      <c r="D183" s="1">
        <f t="shared" si="15"/>
        <v>10713.6</v>
      </c>
      <c r="E183" s="1">
        <f t="shared" si="15"/>
        <v>0</v>
      </c>
      <c r="F183" s="49">
        <f t="shared" si="15"/>
        <v>0</v>
      </c>
    </row>
    <row r="184" spans="1:6" ht="21">
      <c r="A184" s="71" t="s">
        <v>15</v>
      </c>
      <c r="B184" s="2">
        <f>SUM(C184:F184)</f>
        <v>16714.39560448</v>
      </c>
      <c r="C184" s="1">
        <f t="shared" si="15"/>
        <v>5184.7824</v>
      </c>
      <c r="D184" s="1">
        <f t="shared" si="15"/>
        <v>5767.752928000001</v>
      </c>
      <c r="E184" s="1">
        <f t="shared" si="15"/>
        <v>4469.063773439999</v>
      </c>
      <c r="F184" s="49">
        <f t="shared" si="15"/>
        <v>1292.7965030399996</v>
      </c>
    </row>
    <row r="185" spans="1:6" ht="21">
      <c r="A185" s="72" t="s">
        <v>3</v>
      </c>
      <c r="B185" s="2">
        <f>SUM(C185:F185)</f>
        <v>77853.98461567999</v>
      </c>
      <c r="C185" s="2">
        <f>SUM(C182:C184)</f>
        <v>26786.7384</v>
      </c>
      <c r="D185" s="2">
        <f>SUM(D182:D184)</f>
        <v>30900.735248000005</v>
      </c>
      <c r="E185" s="2">
        <f>SUM(E182:E184)</f>
        <v>15641.723207039997</v>
      </c>
      <c r="F185" s="51">
        <f>SUM(F182:F184)</f>
        <v>4524.787760639999</v>
      </c>
    </row>
    <row r="186" spans="1:6" s="4" customFormat="1" ht="21">
      <c r="A186" s="72"/>
      <c r="B186" s="2"/>
      <c r="C186" s="2"/>
      <c r="D186" s="2"/>
      <c r="E186" s="2"/>
      <c r="F186" s="51"/>
    </row>
    <row r="187" spans="1:6" s="4" customFormat="1" ht="21">
      <c r="A187" s="66" t="s">
        <v>125</v>
      </c>
      <c r="B187" s="27"/>
      <c r="C187" s="16"/>
      <c r="D187" s="16"/>
      <c r="E187" s="16"/>
      <c r="F187" s="48"/>
    </row>
    <row r="188" spans="1:6" s="4" customFormat="1" ht="21">
      <c r="A188" s="71" t="s">
        <v>100</v>
      </c>
      <c r="B188" s="2">
        <f>SUM(C188:F188)</f>
        <v>31123.813473736984</v>
      </c>
      <c r="C188" s="1">
        <f>C173-C179</f>
        <v>-1318366.3699502624</v>
      </c>
      <c r="D188" s="1">
        <f>D173-D179</f>
        <v>86227.3935999999</v>
      </c>
      <c r="E188" s="1">
        <f>E173-E179</f>
        <v>319738.6193279999</v>
      </c>
      <c r="F188" s="49">
        <f>F173-F179</f>
        <v>943524.1704959996</v>
      </c>
    </row>
    <row r="189" spans="1:6" s="4" customFormat="1" ht="21">
      <c r="A189" s="77"/>
      <c r="B189" s="17"/>
      <c r="C189" s="16"/>
      <c r="D189" s="16"/>
      <c r="E189" s="16"/>
      <c r="F189" s="48"/>
    </row>
    <row r="190" spans="1:6" s="4" customFormat="1" ht="21">
      <c r="A190" s="65" t="s">
        <v>24</v>
      </c>
      <c r="B190" s="3"/>
      <c r="C190" s="1"/>
      <c r="D190" s="1"/>
      <c r="E190" s="1"/>
      <c r="F190" s="49"/>
    </row>
    <row r="191" spans="1:6" s="4" customFormat="1" ht="21">
      <c r="A191" s="71" t="s">
        <v>23</v>
      </c>
      <c r="B191" s="2">
        <f aca="true" t="shared" si="16" ref="B191:B200">SUM(C191:F191)</f>
        <v>2168178.843647999</v>
      </c>
      <c r="C191" s="1">
        <f>C173</f>
        <v>242207.99999999997</v>
      </c>
      <c r="D191" s="1">
        <f>D173</f>
        <v>374615.0399999999</v>
      </c>
      <c r="E191" s="1">
        <f>E173</f>
        <v>543191.8079999998</v>
      </c>
      <c r="F191" s="49">
        <f>F173</f>
        <v>1008163.9956479996</v>
      </c>
    </row>
    <row r="192" spans="1:6" s="4" customFormat="1" ht="21">
      <c r="A192" s="71" t="s">
        <v>47</v>
      </c>
      <c r="B192" s="2">
        <f t="shared" si="16"/>
        <v>2137055.0301742624</v>
      </c>
      <c r="C192" s="1">
        <f>C179</f>
        <v>1560574.3699502624</v>
      </c>
      <c r="D192" s="1">
        <f>D179</f>
        <v>288387.6464</v>
      </c>
      <c r="E192" s="1">
        <f>E179</f>
        <v>223453.18867199993</v>
      </c>
      <c r="F192" s="49">
        <f>F179</f>
        <v>64639.82515199998</v>
      </c>
    </row>
    <row r="193" spans="1:6" s="4" customFormat="1" ht="21">
      <c r="A193" s="71" t="s">
        <v>20</v>
      </c>
      <c r="B193" s="2">
        <f t="shared" si="16"/>
        <v>31123.813473736984</v>
      </c>
      <c r="C193" s="1">
        <f>C191-C192</f>
        <v>-1318366.3699502624</v>
      </c>
      <c r="D193" s="1">
        <f>D191-D192</f>
        <v>86227.3935999999</v>
      </c>
      <c r="E193" s="1">
        <f>E191-E192</f>
        <v>319738.6193279999</v>
      </c>
      <c r="F193" s="49">
        <f>F191-F192</f>
        <v>943524.1704959996</v>
      </c>
    </row>
    <row r="194" spans="1:6" ht="21">
      <c r="A194" s="71" t="s">
        <v>130</v>
      </c>
      <c r="B194" s="2">
        <f t="shared" si="16"/>
        <v>41785.9890112</v>
      </c>
      <c r="C194" s="1">
        <f>C182</f>
        <v>12961.956</v>
      </c>
      <c r="D194" s="1">
        <f>D182</f>
        <v>14419.382320000002</v>
      </c>
      <c r="E194" s="1">
        <f>E182</f>
        <v>11172.659433599998</v>
      </c>
      <c r="F194" s="49">
        <f>F182</f>
        <v>3231.9912575999992</v>
      </c>
    </row>
    <row r="195" spans="1:6" ht="21">
      <c r="A195" s="71" t="s">
        <v>26</v>
      </c>
      <c r="B195" s="2">
        <f t="shared" si="16"/>
        <v>-10662.175537462928</v>
      </c>
      <c r="C195" s="1">
        <f>C193-C194</f>
        <v>-1331328.3259502624</v>
      </c>
      <c r="D195" s="1">
        <f>D193-D194</f>
        <v>71808.01127999989</v>
      </c>
      <c r="E195" s="1">
        <f>E193-E194</f>
        <v>308565.95989439986</v>
      </c>
      <c r="F195" s="49">
        <f>F193-F194</f>
        <v>940292.1792383996</v>
      </c>
    </row>
    <row r="196" spans="1:6" ht="21">
      <c r="A196" s="71" t="s">
        <v>25</v>
      </c>
      <c r="B196" s="2">
        <f t="shared" si="16"/>
        <v>19353.6</v>
      </c>
      <c r="C196" s="1">
        <f aca="true" t="shared" si="17" ref="C196:F197">C183</f>
        <v>8640</v>
      </c>
      <c r="D196" s="1">
        <f t="shared" si="17"/>
        <v>10713.6</v>
      </c>
      <c r="E196" s="1">
        <f t="shared" si="17"/>
        <v>0</v>
      </c>
      <c r="F196" s="49">
        <f t="shared" si="17"/>
        <v>0</v>
      </c>
    </row>
    <row r="197" spans="1:6" ht="21">
      <c r="A197" s="71" t="s">
        <v>101</v>
      </c>
      <c r="B197" s="2">
        <f t="shared" si="16"/>
        <v>16714.39560448</v>
      </c>
      <c r="C197" s="1">
        <f t="shared" si="17"/>
        <v>5184.7824</v>
      </c>
      <c r="D197" s="1">
        <f t="shared" si="17"/>
        <v>5767.752928000001</v>
      </c>
      <c r="E197" s="1">
        <f t="shared" si="17"/>
        <v>4469.063773439999</v>
      </c>
      <c r="F197" s="49">
        <f t="shared" si="17"/>
        <v>1292.7965030399996</v>
      </c>
    </row>
    <row r="198" spans="1:6" ht="21">
      <c r="A198" s="71" t="s">
        <v>51</v>
      </c>
      <c r="B198" s="2">
        <f t="shared" si="16"/>
        <v>-46730.17114194285</v>
      </c>
      <c r="C198" s="1">
        <f>C195-C196-C197</f>
        <v>-1345153.1083502623</v>
      </c>
      <c r="D198" s="1">
        <f>D195-D196-D197</f>
        <v>55326.65835199989</v>
      </c>
      <c r="E198" s="1">
        <f>E195-E196-E197</f>
        <v>304096.89612095983</v>
      </c>
      <c r="F198" s="49">
        <f>F195-F196-F197</f>
        <v>938999.3827353596</v>
      </c>
    </row>
    <row r="199" spans="1:6" ht="21">
      <c r="A199" s="71" t="s">
        <v>52</v>
      </c>
      <c r="B199" s="2">
        <f t="shared" si="16"/>
        <v>0</v>
      </c>
      <c r="C199" s="1">
        <v>0</v>
      </c>
      <c r="D199" s="1">
        <v>0</v>
      </c>
      <c r="E199" s="1">
        <v>0</v>
      </c>
      <c r="F199" s="49">
        <v>0</v>
      </c>
    </row>
    <row r="200" spans="1:6" ht="21">
      <c r="A200" s="72" t="s">
        <v>19</v>
      </c>
      <c r="B200" s="2">
        <f t="shared" si="16"/>
        <v>-46730.17114194285</v>
      </c>
      <c r="C200" s="2">
        <f>C198-C199</f>
        <v>-1345153.1083502623</v>
      </c>
      <c r="D200" s="2">
        <f>D198-D199</f>
        <v>55326.65835199989</v>
      </c>
      <c r="E200" s="2">
        <f>E198-E199</f>
        <v>304096.89612095983</v>
      </c>
      <c r="F200" s="51">
        <f>F198-F199</f>
        <v>938999.3827353596</v>
      </c>
    </row>
    <row r="201" spans="1:6" ht="21">
      <c r="A201" s="72"/>
      <c r="B201" s="2"/>
      <c r="C201" s="2"/>
      <c r="D201" s="2"/>
      <c r="E201" s="2"/>
      <c r="F201" s="51"/>
    </row>
    <row r="202" spans="1:6" ht="21">
      <c r="A202" s="65" t="s">
        <v>53</v>
      </c>
      <c r="B202" s="3"/>
      <c r="C202" s="1"/>
      <c r="D202" s="1"/>
      <c r="E202" s="1"/>
      <c r="F202" s="49"/>
    </row>
    <row r="203" spans="1:6" ht="21">
      <c r="A203" s="71" t="s">
        <v>19</v>
      </c>
      <c r="B203" s="2">
        <f>SUM(C203:F203)</f>
        <v>-46730.17114194285</v>
      </c>
      <c r="C203" s="1">
        <f>C200</f>
        <v>-1345153.1083502623</v>
      </c>
      <c r="D203" s="1">
        <f>D200</f>
        <v>55326.65835199989</v>
      </c>
      <c r="E203" s="1">
        <f>E200</f>
        <v>304096.89612095983</v>
      </c>
      <c r="F203" s="49">
        <f>F200</f>
        <v>938999.3827353596</v>
      </c>
    </row>
    <row r="204" spans="1:6" s="28" customFormat="1" ht="21">
      <c r="A204" s="71" t="s">
        <v>54</v>
      </c>
      <c r="B204" s="2"/>
      <c r="C204" s="1">
        <v>0</v>
      </c>
      <c r="D204" s="1">
        <f>C208</f>
        <v>-1345153.1083502623</v>
      </c>
      <c r="E204" s="1">
        <f>D208</f>
        <v>-1289826.4499982623</v>
      </c>
      <c r="F204" s="49">
        <f>E208</f>
        <v>-985729.5538773024</v>
      </c>
    </row>
    <row r="205" spans="1:6" ht="21">
      <c r="A205" s="71" t="s">
        <v>55</v>
      </c>
      <c r="B205" s="2"/>
      <c r="C205" s="1">
        <f>C203+C204</f>
        <v>-1345153.1083502623</v>
      </c>
      <c r="D205" s="1">
        <f>D203+D204</f>
        <v>-1289826.4499982623</v>
      </c>
      <c r="E205" s="1">
        <f>E203+E204</f>
        <v>-985729.5538773024</v>
      </c>
      <c r="F205" s="49">
        <f>F203+F204</f>
        <v>-46730.17114194285</v>
      </c>
    </row>
    <row r="206" spans="1:6" s="4" customFormat="1" ht="21">
      <c r="A206" s="71" t="s">
        <v>56</v>
      </c>
      <c r="B206" s="2">
        <f>SUM(C206:F206)</f>
        <v>0</v>
      </c>
      <c r="C206" s="1">
        <f>IF(C205&lt;0,0,0.05*C205)</f>
        <v>0</v>
      </c>
      <c r="D206" s="1">
        <f>IF(D205&lt;0,0,0.05*D205)</f>
        <v>0</v>
      </c>
      <c r="E206" s="1">
        <f>IF(E205&lt;0,0,0.05*E205)</f>
        <v>0</v>
      </c>
      <c r="F206" s="49">
        <f>IF(F205&lt;0,0,0.05*F205)</f>
        <v>0</v>
      </c>
    </row>
    <row r="207" spans="1:6" s="4" customFormat="1" ht="21">
      <c r="A207" s="71" t="s">
        <v>22</v>
      </c>
      <c r="B207" s="2">
        <f>SUM(C207:F207)</f>
        <v>0</v>
      </c>
      <c r="C207" s="1">
        <v>0</v>
      </c>
      <c r="D207" s="1">
        <v>0</v>
      </c>
      <c r="E207" s="1">
        <v>0</v>
      </c>
      <c r="F207" s="49">
        <v>0</v>
      </c>
    </row>
    <row r="208" spans="1:6" s="4" customFormat="1" ht="21">
      <c r="A208" s="72" t="s">
        <v>57</v>
      </c>
      <c r="B208" s="2"/>
      <c r="C208" s="2">
        <f>C205-C206-C207</f>
        <v>-1345153.1083502623</v>
      </c>
      <c r="D208" s="2">
        <f>D205-D206-D207</f>
        <v>-1289826.4499982623</v>
      </c>
      <c r="E208" s="2">
        <f>E205-E206-E207</f>
        <v>-985729.5538773024</v>
      </c>
      <c r="F208" s="51">
        <f>F205-F206-F207</f>
        <v>-46730.17114194285</v>
      </c>
    </row>
    <row r="209" spans="1:6" s="4" customFormat="1" ht="21">
      <c r="A209" s="72"/>
      <c r="B209" s="2"/>
      <c r="C209" s="2"/>
      <c r="D209" s="2"/>
      <c r="E209" s="2"/>
      <c r="F209" s="51"/>
    </row>
    <row r="210" spans="1:6" s="4" customFormat="1" ht="21">
      <c r="A210" s="65" t="s">
        <v>5</v>
      </c>
      <c r="B210" s="3"/>
      <c r="C210" s="1"/>
      <c r="D210" s="1"/>
      <c r="E210" s="1"/>
      <c r="F210" s="49"/>
    </row>
    <row r="211" spans="1:6" s="4" customFormat="1" ht="21">
      <c r="A211" s="71" t="s">
        <v>118</v>
      </c>
      <c r="B211" s="1"/>
      <c r="C211" s="4">
        <f>C194+C196+C197</f>
        <v>26786.7384</v>
      </c>
      <c r="D211" s="4">
        <f>D194+D196+D197</f>
        <v>30900.735248000005</v>
      </c>
      <c r="E211" s="4">
        <f>E194+E196+E197</f>
        <v>15641.723207039997</v>
      </c>
      <c r="F211" s="56">
        <f>F194+F196+F197</f>
        <v>4524.787760639999</v>
      </c>
    </row>
    <row r="212" spans="1:6" s="4" customFormat="1" ht="21">
      <c r="A212" s="71" t="s">
        <v>119</v>
      </c>
      <c r="B212" s="1"/>
      <c r="C212" s="1">
        <f>C192</f>
        <v>1560574.3699502624</v>
      </c>
      <c r="D212" s="1">
        <f>D192</f>
        <v>288387.6464</v>
      </c>
      <c r="E212" s="1">
        <f>E192</f>
        <v>223453.18867199993</v>
      </c>
      <c r="F212" s="49">
        <f>F192</f>
        <v>64639.82515199998</v>
      </c>
    </row>
    <row r="213" spans="1:6" s="4" customFormat="1" ht="21">
      <c r="A213" s="72" t="s">
        <v>4</v>
      </c>
      <c r="B213" s="2"/>
      <c r="C213" s="2">
        <f>C211+C212</f>
        <v>1587361.1083502623</v>
      </c>
      <c r="D213" s="2">
        <f>D211+D212</f>
        <v>319288.38164800004</v>
      </c>
      <c r="E213" s="2">
        <f>E211+E212</f>
        <v>239094.91187903992</v>
      </c>
      <c r="F213" s="51">
        <f>F211+F212</f>
        <v>69164.61291263998</v>
      </c>
    </row>
    <row r="214" spans="1:6" ht="21">
      <c r="A214" s="71"/>
      <c r="B214" s="1"/>
      <c r="C214" s="1"/>
      <c r="D214" s="1"/>
      <c r="E214" s="1"/>
      <c r="F214" s="49"/>
    </row>
    <row r="215" spans="1:6" ht="21">
      <c r="A215" s="65" t="s">
        <v>102</v>
      </c>
      <c r="B215" s="3"/>
      <c r="C215" s="1"/>
      <c r="D215" s="1"/>
      <c r="E215" s="1"/>
      <c r="F215" s="49"/>
    </row>
    <row r="216" spans="1:6" ht="21">
      <c r="A216" s="78" t="s">
        <v>6</v>
      </c>
      <c r="B216" s="24">
        <f>$B$162/(B200+B196)</f>
        <v>-80.90527492672537</v>
      </c>
      <c r="C216" s="24">
        <f>$B$162/(C200+C196)</f>
        <v>-1.6572295482563102</v>
      </c>
      <c r="D216" s="24">
        <f>$B$162/(D200+D196)</f>
        <v>33.53876968476257</v>
      </c>
      <c r="E216" s="24">
        <f>$B$162/(E200+E196)</f>
        <v>7.283563374184929</v>
      </c>
      <c r="F216" s="50">
        <f>$B$162/(F200+F196)</f>
        <v>2.3587970934951885</v>
      </c>
    </row>
    <row r="217" spans="1:6" ht="21">
      <c r="A217" s="71" t="s">
        <v>139</v>
      </c>
      <c r="B217" s="1">
        <f>B200+B196</f>
        <v>-27376.571141942848</v>
      </c>
      <c r="C217" s="1">
        <f>C200+C196</f>
        <v>-1336513.1083502623</v>
      </c>
      <c r="D217" s="1">
        <f>D200+D196</f>
        <v>66040.25835199989</v>
      </c>
      <c r="E217" s="1">
        <f>E200+E196</f>
        <v>304096.89612095983</v>
      </c>
      <c r="F217" s="49">
        <f>F200+F196</f>
        <v>938999.3827353596</v>
      </c>
    </row>
    <row r="218" spans="1:6" ht="21">
      <c r="A218" s="71" t="s">
        <v>7</v>
      </c>
      <c r="B218" s="1"/>
      <c r="C218" s="1">
        <f>B218+C217</f>
        <v>-1336513.1083502623</v>
      </c>
      <c r="D218" s="1">
        <f>C218+D217</f>
        <v>-1270472.8499982625</v>
      </c>
      <c r="E218" s="1">
        <f>D218+E217</f>
        <v>-966375.9538773026</v>
      </c>
      <c r="F218" s="49">
        <f>E218+F217</f>
        <v>-27376.571141942986</v>
      </c>
    </row>
    <row r="219" spans="1:6" ht="21">
      <c r="A219" s="71"/>
      <c r="B219" s="1"/>
      <c r="C219" s="1"/>
      <c r="D219" s="1"/>
      <c r="E219" s="1"/>
      <c r="F219" s="49"/>
    </row>
    <row r="220" spans="1:6" ht="21">
      <c r="A220" s="78" t="s">
        <v>111</v>
      </c>
      <c r="B220" s="24">
        <f>$B$162/B200</f>
        <v>-47.39783657248244</v>
      </c>
      <c r="C220" s="24">
        <f>$B$162/C200</f>
        <v>-1.6465850623550027</v>
      </c>
      <c r="D220" s="24">
        <f>$B$162/D200</f>
        <v>40.033305476326134</v>
      </c>
      <c r="E220" s="24">
        <f>$B$162/E200</f>
        <v>7.283563374184929</v>
      </c>
      <c r="F220" s="50">
        <f>$B$162/F200</f>
        <v>2.3587970934951885</v>
      </c>
    </row>
    <row r="221" spans="1:6" ht="21">
      <c r="A221" s="71" t="s">
        <v>138</v>
      </c>
      <c r="B221" s="1">
        <f>B200</f>
        <v>-46730.17114194285</v>
      </c>
      <c r="C221" s="1">
        <f>C200</f>
        <v>-1345153.1083502623</v>
      </c>
      <c r="D221" s="1">
        <f>D200</f>
        <v>55326.65835199989</v>
      </c>
      <c r="E221" s="1">
        <f>E200</f>
        <v>304096.89612095983</v>
      </c>
      <c r="F221" s="49">
        <f>F200</f>
        <v>938999.3827353596</v>
      </c>
    </row>
    <row r="222" spans="1:6" s="28" customFormat="1" ht="21">
      <c r="A222" s="71" t="s">
        <v>112</v>
      </c>
      <c r="B222" s="1"/>
      <c r="C222" s="1">
        <f>B222+C221</f>
        <v>-1345153.1083502623</v>
      </c>
      <c r="D222" s="1">
        <f>C222+D221</f>
        <v>-1289826.4499982623</v>
      </c>
      <c r="E222" s="1">
        <f>D222+E221</f>
        <v>-985729.5538773024</v>
      </c>
      <c r="F222" s="49">
        <f>E222+F221</f>
        <v>-46730.17114194285</v>
      </c>
    </row>
    <row r="223" spans="1:6" s="19" customFormat="1" ht="21">
      <c r="A223" s="71"/>
      <c r="B223" s="1"/>
      <c r="C223" s="1"/>
      <c r="D223" s="1"/>
      <c r="E223" s="1"/>
      <c r="F223" s="49"/>
    </row>
    <row r="224" spans="1:6" ht="21">
      <c r="A224" s="65" t="s">
        <v>62</v>
      </c>
      <c r="B224" s="1" t="s">
        <v>121</v>
      </c>
      <c r="D224" s="1"/>
      <c r="E224" s="1"/>
      <c r="F224" s="49"/>
    </row>
    <row r="225" spans="1:6" ht="21">
      <c r="A225" s="71" t="s">
        <v>152</v>
      </c>
      <c r="B225" s="2">
        <f>-C234-C235</f>
        <v>-1310335.2499502623</v>
      </c>
      <c r="C225" s="1">
        <f>C232-C234-C235-C244</f>
        <v>-1068127.2499502623</v>
      </c>
      <c r="D225" s="1">
        <f>D232-D234-D235-D244</f>
        <v>374615.0399999999</v>
      </c>
      <c r="E225" s="1">
        <f>E232-E234-E235-E244</f>
        <v>543191.8079999998</v>
      </c>
      <c r="F225" s="49">
        <f>F232-F234-F235-F244</f>
        <v>1008163.9956479996</v>
      </c>
    </row>
    <row r="226" spans="1:6" ht="21">
      <c r="A226" s="70" t="s">
        <v>8</v>
      </c>
      <c r="B226" s="16"/>
      <c r="C226" s="16">
        <f>1/(1+B228)^1</f>
        <v>0.7691189060264868</v>
      </c>
      <c r="D226" s="16">
        <f>$C226*C226</f>
        <v>0.5915438916073799</v>
      </c>
      <c r="E226" s="16">
        <f>$C226*D226</f>
        <v>0.4549675907797187</v>
      </c>
      <c r="F226" s="48">
        <f>$C226*E226</f>
        <v>0.3499241756980036</v>
      </c>
    </row>
    <row r="227" spans="1:6" ht="21">
      <c r="A227" s="71" t="s">
        <v>9</v>
      </c>
      <c r="B227" s="29">
        <f>SUM(C227:F227)</f>
        <v>0</v>
      </c>
      <c r="C227" s="1">
        <f>C225*C226</f>
        <v>-821516.8619788255</v>
      </c>
      <c r="D227" s="1">
        <f>D225*D226</f>
        <v>221601.2386162542</v>
      </c>
      <c r="E227" s="1">
        <f>E225*E226</f>
        <v>247134.66821703946</v>
      </c>
      <c r="F227" s="49">
        <f>F225*F226</f>
        <v>352780.9551455319</v>
      </c>
    </row>
    <row r="228" spans="1:6" ht="21">
      <c r="A228" s="70" t="s">
        <v>10</v>
      </c>
      <c r="B228" s="16">
        <f>IRR(C225:F225)</f>
        <v>0.30018907631112396</v>
      </c>
      <c r="D228" s="16"/>
      <c r="E228" s="16"/>
      <c r="F228" s="48"/>
    </row>
    <row r="229" spans="1:6" ht="21">
      <c r="A229" s="71"/>
      <c r="B229" s="1"/>
      <c r="C229" s="1"/>
      <c r="D229" s="1"/>
      <c r="E229" s="1"/>
      <c r="F229" s="49"/>
    </row>
    <row r="230" spans="1:6" ht="21">
      <c r="A230" s="65" t="s">
        <v>11</v>
      </c>
      <c r="B230" s="3"/>
      <c r="C230" s="1"/>
      <c r="D230" s="1"/>
      <c r="E230" s="1"/>
      <c r="F230" s="49"/>
    </row>
    <row r="231" spans="1:6" ht="21">
      <c r="A231" s="71" t="s">
        <v>17</v>
      </c>
      <c r="B231" s="1" t="s">
        <v>27</v>
      </c>
      <c r="C231" s="1">
        <v>0</v>
      </c>
      <c r="D231" s="1">
        <f>C248</f>
        <v>1182.1415999999736</v>
      </c>
      <c r="E231" s="1">
        <f>D248</f>
        <v>56508.799951999914</v>
      </c>
      <c r="F231" s="49">
        <f>E248</f>
        <v>305252.09607295983</v>
      </c>
    </row>
    <row r="232" spans="1:6" ht="21">
      <c r="A232" s="71" t="s">
        <v>63</v>
      </c>
      <c r="B232" s="44">
        <f>SUM(C232:F232)</f>
        <v>2168178.843647999</v>
      </c>
      <c r="C232" s="1">
        <f>C173</f>
        <v>242207.99999999997</v>
      </c>
      <c r="D232" s="1">
        <f>D173</f>
        <v>374615.0399999999</v>
      </c>
      <c r="E232" s="1">
        <f>E173</f>
        <v>543191.8079999998</v>
      </c>
      <c r="F232" s="49">
        <f>F173</f>
        <v>1008163.9956479996</v>
      </c>
    </row>
    <row r="233" spans="1:6" ht="21">
      <c r="A233" s="71" t="s">
        <v>16</v>
      </c>
      <c r="B233" s="44">
        <f>SUM(C233:F233)</f>
        <v>0</v>
      </c>
      <c r="C233" s="1">
        <v>0</v>
      </c>
      <c r="D233" s="1">
        <v>0</v>
      </c>
      <c r="E233" s="1">
        <v>0</v>
      </c>
      <c r="F233" s="49">
        <v>0</v>
      </c>
    </row>
    <row r="234" spans="1:6" ht="21">
      <c r="A234" s="71" t="s">
        <v>103</v>
      </c>
      <c r="B234" s="44">
        <f>SUM(C234:F234)</f>
        <v>1301335.2499502623</v>
      </c>
      <c r="C234" s="1">
        <f>C157</f>
        <v>1301335.2499502623</v>
      </c>
      <c r="D234" s="1">
        <v>0</v>
      </c>
      <c r="E234" s="1">
        <v>0</v>
      </c>
      <c r="F234" s="49">
        <v>0</v>
      </c>
    </row>
    <row r="235" spans="1:6" ht="21">
      <c r="A235" s="71" t="s">
        <v>120</v>
      </c>
      <c r="B235" s="44">
        <f>SUM(C235:F235)</f>
        <v>9000</v>
      </c>
      <c r="C235" s="1">
        <f>C22</f>
        <v>9000</v>
      </c>
      <c r="D235" s="1">
        <f>D22</f>
        <v>0</v>
      </c>
      <c r="E235" s="1">
        <f>E22</f>
        <v>0</v>
      </c>
      <c r="F235" s="49">
        <f>F22</f>
        <v>0</v>
      </c>
    </row>
    <row r="236" spans="1:6" ht="21">
      <c r="A236" s="71" t="s">
        <v>29</v>
      </c>
      <c r="B236" s="44">
        <f>SUM(C236:F236)</f>
        <v>36000</v>
      </c>
      <c r="C236" s="1">
        <f>C151</f>
        <v>36000</v>
      </c>
      <c r="D236" s="1">
        <f>D151</f>
        <v>0</v>
      </c>
      <c r="E236" s="1">
        <f>E151</f>
        <v>0</v>
      </c>
      <c r="F236" s="49">
        <f>F151</f>
        <v>0</v>
      </c>
    </row>
    <row r="237" spans="1:6" ht="21">
      <c r="A237" s="72" t="s">
        <v>12</v>
      </c>
      <c r="B237" s="2"/>
      <c r="C237" s="2">
        <f>SUM(C231:C236)</f>
        <v>1588543.2499502623</v>
      </c>
      <c r="D237" s="2">
        <f>SUM(D231:D236)</f>
        <v>375797.1815999999</v>
      </c>
      <c r="E237" s="2">
        <f>SUM(E231:E236)</f>
        <v>599700.6079519998</v>
      </c>
      <c r="F237" s="51">
        <f>SUM(F231:F236)</f>
        <v>1313416.0917209594</v>
      </c>
    </row>
    <row r="238" spans="1:6" ht="21">
      <c r="A238" s="72"/>
      <c r="B238" s="2"/>
      <c r="C238" s="2"/>
      <c r="D238" s="2"/>
      <c r="E238" s="2"/>
      <c r="F238" s="51"/>
    </row>
    <row r="239" spans="1:6" ht="21">
      <c r="A239" s="71" t="s">
        <v>122</v>
      </c>
      <c r="B239" s="2"/>
      <c r="C239" s="1">
        <f aca="true" t="shared" si="18" ref="C239:F243">C157</f>
        <v>1301335.2499502623</v>
      </c>
      <c r="D239" s="1">
        <f t="shared" si="18"/>
        <v>0</v>
      </c>
      <c r="E239" s="1">
        <f t="shared" si="18"/>
        <v>0</v>
      </c>
      <c r="F239" s="49">
        <f t="shared" si="18"/>
        <v>0</v>
      </c>
    </row>
    <row r="240" spans="1:6" ht="21">
      <c r="A240" s="71" t="s">
        <v>96</v>
      </c>
      <c r="B240" s="1"/>
      <c r="C240" s="1">
        <f t="shared" si="18"/>
        <v>259239.12</v>
      </c>
      <c r="D240" s="1">
        <f t="shared" si="18"/>
        <v>288387.6464</v>
      </c>
      <c r="E240" s="1">
        <f t="shared" si="18"/>
        <v>223453.18867199993</v>
      </c>
      <c r="F240" s="49">
        <f t="shared" si="18"/>
        <v>64639.82515199998</v>
      </c>
    </row>
    <row r="241" spans="1:6" ht="21">
      <c r="A241" s="71" t="s">
        <v>123</v>
      </c>
      <c r="B241" s="1"/>
      <c r="C241" s="1">
        <f t="shared" si="18"/>
        <v>12961.956</v>
      </c>
      <c r="D241" s="1">
        <f t="shared" si="18"/>
        <v>14419.382320000002</v>
      </c>
      <c r="E241" s="1">
        <f t="shared" si="18"/>
        <v>11172.659433599998</v>
      </c>
      <c r="F241" s="49">
        <f t="shared" si="18"/>
        <v>3231.9912575999992</v>
      </c>
    </row>
    <row r="242" spans="1:6" ht="21">
      <c r="A242" s="71" t="s">
        <v>14</v>
      </c>
      <c r="B242" s="1"/>
      <c r="C242" s="1">
        <f t="shared" si="18"/>
        <v>8640</v>
      </c>
      <c r="D242" s="1">
        <f t="shared" si="18"/>
        <v>10713.6</v>
      </c>
      <c r="E242" s="1">
        <f t="shared" si="18"/>
        <v>0</v>
      </c>
      <c r="F242" s="49">
        <f t="shared" si="18"/>
        <v>0</v>
      </c>
    </row>
    <row r="243" spans="1:6" ht="21">
      <c r="A243" s="71" t="s">
        <v>15</v>
      </c>
      <c r="B243" s="1"/>
      <c r="C243" s="1">
        <f t="shared" si="18"/>
        <v>5184.7824</v>
      </c>
      <c r="D243" s="1">
        <f t="shared" si="18"/>
        <v>5767.752928000001</v>
      </c>
      <c r="E243" s="1">
        <f t="shared" si="18"/>
        <v>4469.063773439999</v>
      </c>
      <c r="F243" s="49">
        <f t="shared" si="18"/>
        <v>1292.7965030399996</v>
      </c>
    </row>
    <row r="244" spans="1:6" ht="21">
      <c r="A244" s="71" t="s">
        <v>59</v>
      </c>
      <c r="B244" s="1"/>
      <c r="C244" s="1">
        <f>C199</f>
        <v>0</v>
      </c>
      <c r="D244" s="1">
        <f>D199</f>
        <v>0</v>
      </c>
      <c r="E244" s="1">
        <f>E199</f>
        <v>0</v>
      </c>
      <c r="F244" s="49">
        <f>F199</f>
        <v>0</v>
      </c>
    </row>
    <row r="245" spans="1:6" ht="21">
      <c r="A245" s="71" t="s">
        <v>60</v>
      </c>
      <c r="B245" s="1"/>
      <c r="C245" s="1">
        <f>C207</f>
        <v>0</v>
      </c>
      <c r="D245" s="1">
        <f>D207</f>
        <v>0</v>
      </c>
      <c r="E245" s="1">
        <f>E207</f>
        <v>0</v>
      </c>
      <c r="F245" s="49">
        <f>F207</f>
        <v>0</v>
      </c>
    </row>
    <row r="246" spans="1:6" ht="21">
      <c r="A246" s="71" t="s">
        <v>61</v>
      </c>
      <c r="B246" s="1"/>
      <c r="C246" s="1">
        <f>C152</f>
        <v>0</v>
      </c>
      <c r="D246" s="1">
        <f>D152</f>
        <v>0</v>
      </c>
      <c r="E246" s="1">
        <f>E152</f>
        <v>55353.6</v>
      </c>
      <c r="F246" s="49">
        <f>F152</f>
        <v>0</v>
      </c>
    </row>
    <row r="247" spans="1:6" ht="21">
      <c r="A247" s="72" t="s">
        <v>13</v>
      </c>
      <c r="B247" s="2"/>
      <c r="C247" s="2">
        <f>SUM(C239:C246)</f>
        <v>1587361.1083502623</v>
      </c>
      <c r="D247" s="2">
        <f>SUM(D239:D246)</f>
        <v>319288.381648</v>
      </c>
      <c r="E247" s="2">
        <f>SUM(E239:E246)</f>
        <v>294448.5118790399</v>
      </c>
      <c r="F247" s="51">
        <f>SUM(F239:F246)</f>
        <v>69164.61291263998</v>
      </c>
    </row>
    <row r="248" spans="1:6" ht="21">
      <c r="A248" s="75" t="s">
        <v>21</v>
      </c>
      <c r="B248" s="7"/>
      <c r="C248" s="7">
        <f>C237-C247</f>
        <v>1182.1415999999736</v>
      </c>
      <c r="D248" s="7">
        <f>D237-D247</f>
        <v>56508.799951999914</v>
      </c>
      <c r="E248" s="7">
        <f>E237-E247</f>
        <v>305252.09607295983</v>
      </c>
      <c r="F248" s="54">
        <f>F237-F247</f>
        <v>1244251.4788083194</v>
      </c>
    </row>
    <row r="249" spans="1:6" ht="21">
      <c r="A249" s="71"/>
      <c r="B249" s="1"/>
      <c r="C249" s="1"/>
      <c r="D249" s="1"/>
      <c r="E249" s="1"/>
      <c r="F249" s="49"/>
    </row>
    <row r="250" spans="1:6" ht="21">
      <c r="A250" s="65" t="s">
        <v>46</v>
      </c>
      <c r="B250" s="3"/>
      <c r="C250" s="1"/>
      <c r="D250" s="1"/>
      <c r="E250" s="1"/>
      <c r="F250" s="49"/>
    </row>
    <row r="251" spans="1:6" ht="21">
      <c r="A251" s="71" t="s">
        <v>17</v>
      </c>
      <c r="B251" s="1"/>
      <c r="C251" s="16">
        <f aca="true" t="shared" si="19" ref="C251:F256">C231/C$237</f>
        <v>0</v>
      </c>
      <c r="D251" s="16">
        <f t="shared" si="19"/>
        <v>0.0031456904359071273</v>
      </c>
      <c r="E251" s="16">
        <f t="shared" si="19"/>
        <v>0.09422835195211758</v>
      </c>
      <c r="F251" s="48">
        <f t="shared" si="19"/>
        <v>0.23241080872778883</v>
      </c>
    </row>
    <row r="252" spans="1:6" ht="21">
      <c r="A252" s="71" t="s">
        <v>63</v>
      </c>
      <c r="B252" s="29"/>
      <c r="C252" s="16">
        <f t="shared" si="19"/>
        <v>0.15247176934438741</v>
      </c>
      <c r="D252" s="16">
        <f t="shared" si="19"/>
        <v>0.9968543095640928</v>
      </c>
      <c r="E252" s="16">
        <f t="shared" si="19"/>
        <v>0.9057716480478825</v>
      </c>
      <c r="F252" s="48">
        <f t="shared" si="19"/>
        <v>0.7675891912722111</v>
      </c>
    </row>
    <row r="253" spans="1:6" ht="21">
      <c r="A253" s="71" t="s">
        <v>16</v>
      </c>
      <c r="B253" s="29"/>
      <c r="C253" s="16">
        <f t="shared" si="19"/>
        <v>0</v>
      </c>
      <c r="D253" s="16">
        <f t="shared" si="19"/>
        <v>0</v>
      </c>
      <c r="E253" s="16">
        <f t="shared" si="19"/>
        <v>0</v>
      </c>
      <c r="F253" s="48">
        <f t="shared" si="19"/>
        <v>0</v>
      </c>
    </row>
    <row r="254" spans="1:6" ht="21">
      <c r="A254" s="71" t="s">
        <v>103</v>
      </c>
      <c r="B254" s="29"/>
      <c r="C254" s="16">
        <f t="shared" si="19"/>
        <v>0.819200390037229</v>
      </c>
      <c r="D254" s="16">
        <f t="shared" si="19"/>
        <v>0</v>
      </c>
      <c r="E254" s="16">
        <f t="shared" si="19"/>
        <v>0</v>
      </c>
      <c r="F254" s="48">
        <f t="shared" si="19"/>
        <v>0</v>
      </c>
    </row>
    <row r="255" spans="1:6" ht="21">
      <c r="A255" s="71" t="s">
        <v>120</v>
      </c>
      <c r="B255" s="29"/>
      <c r="C255" s="16">
        <f t="shared" si="19"/>
        <v>0.005665568123676704</v>
      </c>
      <c r="D255" s="16">
        <f t="shared" si="19"/>
        <v>0</v>
      </c>
      <c r="E255" s="16">
        <f t="shared" si="19"/>
        <v>0</v>
      </c>
      <c r="F255" s="48">
        <f t="shared" si="19"/>
        <v>0</v>
      </c>
    </row>
    <row r="256" spans="1:6" ht="21">
      <c r="A256" s="71" t="s">
        <v>29</v>
      </c>
      <c r="B256" s="29"/>
      <c r="C256" s="16">
        <f t="shared" si="19"/>
        <v>0.022662272494706814</v>
      </c>
      <c r="D256" s="16">
        <f t="shared" si="19"/>
        <v>0</v>
      </c>
      <c r="E256" s="16">
        <f t="shared" si="19"/>
        <v>0</v>
      </c>
      <c r="F256" s="48">
        <f t="shared" si="19"/>
        <v>0</v>
      </c>
    </row>
    <row r="257" spans="1:6" ht="21">
      <c r="A257" s="72" t="s">
        <v>12</v>
      </c>
      <c r="B257" s="2"/>
      <c r="C257" s="30">
        <f>SUM(C251:C256)</f>
        <v>1</v>
      </c>
      <c r="D257" s="30">
        <f>SUM(D251:D256)</f>
        <v>1</v>
      </c>
      <c r="E257" s="30">
        <f>SUM(E251:E256)</f>
        <v>1</v>
      </c>
      <c r="F257" s="57">
        <f>SUM(F251:F256)</f>
        <v>1</v>
      </c>
    </row>
    <row r="258" spans="1:6" ht="21">
      <c r="A258" s="72"/>
      <c r="B258" s="2"/>
      <c r="C258" s="2"/>
      <c r="D258" s="2"/>
      <c r="E258" s="2"/>
      <c r="F258" s="51"/>
    </row>
    <row r="259" spans="1:6" ht="21">
      <c r="A259" s="71" t="s">
        <v>122</v>
      </c>
      <c r="B259" s="2"/>
      <c r="C259" s="16">
        <f aca="true" t="shared" si="20" ref="C259:F267">C239/C$247</f>
        <v>0.8198104660021149</v>
      </c>
      <c r="D259" s="16">
        <f t="shared" si="20"/>
        <v>0</v>
      </c>
      <c r="E259" s="16">
        <f t="shared" si="20"/>
        <v>0</v>
      </c>
      <c r="F259" s="48">
        <f t="shared" si="20"/>
        <v>0</v>
      </c>
    </row>
    <row r="260" spans="1:6" ht="21">
      <c r="A260" s="71" t="s">
        <v>96</v>
      </c>
      <c r="B260" s="1"/>
      <c r="C260" s="16">
        <f t="shared" si="20"/>
        <v>0.16331452158949902</v>
      </c>
      <c r="D260" s="16">
        <f t="shared" si="20"/>
        <v>0.9032199822351615</v>
      </c>
      <c r="E260" s="16">
        <f t="shared" si="20"/>
        <v>0.758887138691993</v>
      </c>
      <c r="F260" s="48">
        <f t="shared" si="20"/>
        <v>0.9345794392523366</v>
      </c>
    </row>
    <row r="261" spans="1:6" ht="21">
      <c r="A261" s="71" t="s">
        <v>123</v>
      </c>
      <c r="B261" s="1"/>
      <c r="C261" s="16">
        <f t="shared" si="20"/>
        <v>0.00816572607947495</v>
      </c>
      <c r="D261" s="16">
        <f t="shared" si="20"/>
        <v>0.04516099911175808</v>
      </c>
      <c r="E261" s="16">
        <f t="shared" si="20"/>
        <v>0.03794435693459965</v>
      </c>
      <c r="F261" s="48">
        <f t="shared" si="20"/>
        <v>0.04672897196261683</v>
      </c>
    </row>
    <row r="262" spans="1:6" ht="21">
      <c r="A262" s="71" t="s">
        <v>14</v>
      </c>
      <c r="B262" s="1"/>
      <c r="C262" s="16">
        <f t="shared" si="20"/>
        <v>0.00544299589712105</v>
      </c>
      <c r="D262" s="16">
        <f t="shared" si="20"/>
        <v>0.03355461900837728</v>
      </c>
      <c r="E262" s="16">
        <f t="shared" si="20"/>
        <v>0</v>
      </c>
      <c r="F262" s="48">
        <f t="shared" si="20"/>
        <v>0</v>
      </c>
    </row>
    <row r="263" spans="1:6" ht="21">
      <c r="A263" s="71" t="s">
        <v>15</v>
      </c>
      <c r="B263" s="1"/>
      <c r="C263" s="16">
        <f t="shared" si="20"/>
        <v>0.0032662904317899803</v>
      </c>
      <c r="D263" s="16">
        <f t="shared" si="20"/>
        <v>0.018064399644703234</v>
      </c>
      <c r="E263" s="16">
        <f t="shared" si="20"/>
        <v>0.015177742773839861</v>
      </c>
      <c r="F263" s="48">
        <f t="shared" si="20"/>
        <v>0.01869158878504673</v>
      </c>
    </row>
    <row r="264" spans="1:6" ht="21">
      <c r="A264" s="71" t="s">
        <v>59</v>
      </c>
      <c r="B264" s="1"/>
      <c r="C264" s="16">
        <f t="shared" si="20"/>
        <v>0</v>
      </c>
      <c r="D264" s="16">
        <f t="shared" si="20"/>
        <v>0</v>
      </c>
      <c r="E264" s="16">
        <f t="shared" si="20"/>
        <v>0</v>
      </c>
      <c r="F264" s="48">
        <f t="shared" si="20"/>
        <v>0</v>
      </c>
    </row>
    <row r="265" spans="1:6" ht="21">
      <c r="A265" s="71" t="s">
        <v>60</v>
      </c>
      <c r="B265" s="1"/>
      <c r="C265" s="16">
        <f t="shared" si="20"/>
        <v>0</v>
      </c>
      <c r="D265" s="16">
        <f t="shared" si="20"/>
        <v>0</v>
      </c>
      <c r="E265" s="16">
        <f t="shared" si="20"/>
        <v>0</v>
      </c>
      <c r="F265" s="48">
        <f t="shared" si="20"/>
        <v>0</v>
      </c>
    </row>
    <row r="266" spans="1:6" ht="21">
      <c r="A266" s="71" t="s">
        <v>61</v>
      </c>
      <c r="B266" s="1"/>
      <c r="C266" s="16">
        <f t="shared" si="20"/>
        <v>0</v>
      </c>
      <c r="D266" s="16">
        <f t="shared" si="20"/>
        <v>0</v>
      </c>
      <c r="E266" s="16">
        <f t="shared" si="20"/>
        <v>0.18799076159956746</v>
      </c>
      <c r="F266" s="48">
        <f t="shared" si="20"/>
        <v>0</v>
      </c>
    </row>
    <row r="267" spans="1:6" ht="21">
      <c r="A267" s="72" t="s">
        <v>13</v>
      </c>
      <c r="B267" s="2"/>
      <c r="C267" s="20">
        <f t="shared" si="20"/>
        <v>1</v>
      </c>
      <c r="D267" s="20">
        <f t="shared" si="20"/>
        <v>1</v>
      </c>
      <c r="E267" s="20">
        <f t="shared" si="20"/>
        <v>1</v>
      </c>
      <c r="F267" s="52">
        <f t="shared" si="20"/>
        <v>1</v>
      </c>
    </row>
    <row r="268" spans="1:6" ht="21.75" thickBot="1">
      <c r="A268" s="79" t="s">
        <v>21</v>
      </c>
      <c r="B268" s="58"/>
      <c r="C268" s="59">
        <f>C248/C247</f>
        <v>0.0007447212822472187</v>
      </c>
      <c r="D268" s="59">
        <f>D248/D247</f>
        <v>0.17698357722987282</v>
      </c>
      <c r="E268" s="59">
        <f>E248/E247</f>
        <v>1.0366909111714513</v>
      </c>
      <c r="F268" s="60">
        <f>F248/F247</f>
        <v>17.989712172319987</v>
      </c>
    </row>
    <row r="269" ht="21.75" thickTop="1">
      <c r="A269" s="80"/>
    </row>
    <row r="270" ht="21">
      <c r="A270" s="80"/>
    </row>
    <row r="271" ht="21">
      <c r="A271" s="80"/>
    </row>
    <row r="272" ht="21">
      <c r="A272" s="80"/>
    </row>
    <row r="273" ht="21">
      <c r="A273" s="80"/>
    </row>
    <row r="274" ht="21">
      <c r="A274" s="80"/>
    </row>
    <row r="275" ht="21">
      <c r="A275" s="80"/>
    </row>
    <row r="276" ht="21">
      <c r="A276" s="80"/>
    </row>
    <row r="277" ht="21">
      <c r="A277" s="80"/>
    </row>
    <row r="278" ht="21">
      <c r="A278" s="80"/>
    </row>
    <row r="279" ht="21">
      <c r="A279" s="80"/>
    </row>
    <row r="280" ht="21">
      <c r="A280" s="80"/>
    </row>
    <row r="281" ht="21">
      <c r="A281" s="80"/>
    </row>
    <row r="282" ht="21">
      <c r="A282" s="80"/>
    </row>
    <row r="283" ht="21">
      <c r="A283" s="80"/>
    </row>
    <row r="284" ht="21">
      <c r="A284" s="80"/>
    </row>
    <row r="285" ht="21">
      <c r="A285" s="80"/>
    </row>
    <row r="286" ht="21">
      <c r="A286" s="80"/>
    </row>
    <row r="287" ht="21">
      <c r="A287" s="80"/>
    </row>
    <row r="288" ht="21">
      <c r="A288" s="80"/>
    </row>
    <row r="289" ht="21">
      <c r="A289" s="80"/>
    </row>
    <row r="290" ht="21">
      <c r="A290" s="80"/>
    </row>
    <row r="291" ht="21">
      <c r="A291" s="80"/>
    </row>
    <row r="292" ht="21">
      <c r="A292" s="80"/>
    </row>
    <row r="293" ht="21">
      <c r="A293" s="80"/>
    </row>
    <row r="294" ht="21">
      <c r="A294" s="80"/>
    </row>
    <row r="295" ht="21">
      <c r="A295" s="80"/>
    </row>
    <row r="296" ht="21">
      <c r="A296" s="80"/>
    </row>
    <row r="297" ht="21">
      <c r="A297" s="80"/>
    </row>
    <row r="298" ht="21">
      <c r="A298" s="80"/>
    </row>
    <row r="299" ht="21">
      <c r="A299" s="80"/>
    </row>
    <row r="300" ht="21">
      <c r="A300" s="80"/>
    </row>
    <row r="301" ht="21">
      <c r="A301" s="80"/>
    </row>
    <row r="302" ht="21">
      <c r="A302" s="80"/>
    </row>
    <row r="303" ht="21">
      <c r="A303" s="80"/>
    </row>
    <row r="304" ht="21">
      <c r="A304" s="80"/>
    </row>
    <row r="305" ht="21">
      <c r="A305" s="80"/>
    </row>
    <row r="306" ht="21">
      <c r="A306" s="80"/>
    </row>
    <row r="307" ht="21">
      <c r="A307" s="80"/>
    </row>
    <row r="308" ht="21">
      <c r="A308" s="80"/>
    </row>
    <row r="309" ht="21">
      <c r="A309" s="80"/>
    </row>
    <row r="310" ht="21">
      <c r="A310" s="80"/>
    </row>
    <row r="311" ht="21">
      <c r="A311" s="80"/>
    </row>
    <row r="312" ht="21">
      <c r="A312" s="80"/>
    </row>
    <row r="313" ht="21">
      <c r="A313" s="80"/>
    </row>
    <row r="314" ht="21">
      <c r="A314" s="80"/>
    </row>
    <row r="315" ht="21">
      <c r="A315" s="80"/>
    </row>
    <row r="316" ht="21">
      <c r="A316" s="80"/>
    </row>
    <row r="317" ht="21">
      <c r="A317" s="80"/>
    </row>
    <row r="318" ht="21">
      <c r="A318" s="80"/>
    </row>
    <row r="319" ht="21">
      <c r="A319" s="80"/>
    </row>
    <row r="320" ht="21">
      <c r="A320" s="80"/>
    </row>
    <row r="321" ht="21">
      <c r="A321" s="80"/>
    </row>
    <row r="322" ht="21">
      <c r="A322" s="80"/>
    </row>
    <row r="323" ht="21">
      <c r="A323" s="80"/>
    </row>
    <row r="324" ht="21">
      <c r="A324" s="80"/>
    </row>
    <row r="325" ht="21">
      <c r="A325" s="80"/>
    </row>
    <row r="326" ht="21">
      <c r="A326" s="80"/>
    </row>
    <row r="327" ht="21">
      <c r="A327" s="80"/>
    </row>
  </sheetData>
  <mergeCells count="11">
    <mergeCell ref="A11:B11"/>
    <mergeCell ref="A2:F2"/>
    <mergeCell ref="A3:F3"/>
    <mergeCell ref="A4:F4"/>
    <mergeCell ref="A5:F5"/>
    <mergeCell ref="A6:F6"/>
    <mergeCell ref="A7:F7"/>
    <mergeCell ref="A10:F10"/>
    <mergeCell ref="A9:F9"/>
    <mergeCell ref="A8:F8"/>
    <mergeCell ref="A1:F1"/>
  </mergeCells>
  <conditionalFormatting sqref="C189:F189 C187:F187">
    <cfRule type="cellIs" priority="1" dxfId="0" operator="lessThan" stopIfTrue="1">
      <formula>0</formula>
    </cfRule>
  </conditionalFormatting>
  <conditionalFormatting sqref="C188:F188">
    <cfRule type="cellIs" priority="2" dxfId="1" operator="lessThan" stopIfTrue="1">
      <formula>0</formula>
    </cfRule>
  </conditionalFormatting>
  <printOptions gridLines="1" horizontalCentered="1" verticalCentered="1"/>
  <pageMargins left="0.5" right="0.5" top="0.75" bottom="0.6" header="0.35" footer="0.35"/>
  <pageSetup horizontalDpi="600" verticalDpi="600" orientation="portrait" paperSize="9" r:id="rId1"/>
  <headerFooter alignWithMargins="0">
    <oddHeader>&amp;L&amp;"B Kamran,Regular"&amp;14شركت سرمايه‌گذاري ساختمان و صنعت</oddHeader>
    <oddFooter>&amp;R&amp;"B Kamran,Regular"&amp;12صفحة &amp;P از &amp;N صفحه</oddFooter>
  </headerFooter>
</worksheet>
</file>

<file path=xl/worksheets/sheet5.xml><?xml version="1.0" encoding="utf-8"?>
<worksheet xmlns="http://schemas.openxmlformats.org/spreadsheetml/2006/main" xmlns:r="http://schemas.openxmlformats.org/officeDocument/2006/relationships">
  <sheetPr>
    <tabColor indexed="13"/>
  </sheetPr>
  <dimension ref="A1:K327"/>
  <sheetViews>
    <sheetView rightToLeft="1" tabSelected="1" workbookViewId="0" topLeftCell="A13">
      <pane ySplit="5745" topLeftCell="BM1" activePane="bottomLeft" state="split"/>
      <selection pane="topLeft" activeCell="A11" sqref="A11:B11"/>
      <selection pane="bottomLeft" activeCell="A11" sqref="A11:B11"/>
    </sheetView>
  </sheetViews>
  <sheetFormatPr defaultColWidth="9.140625" defaultRowHeight="12.75"/>
  <cols>
    <col min="1" max="1" width="42.00390625" style="67" customWidth="1"/>
    <col min="2" max="2" width="10.28125" style="23" bestFit="1" customWidth="1"/>
    <col min="3" max="4" width="10.57421875" style="13" bestFit="1" customWidth="1"/>
    <col min="5" max="5" width="10.28125" style="13" bestFit="1" customWidth="1"/>
    <col min="6" max="6" width="10.57421875" style="13" bestFit="1" customWidth="1"/>
    <col min="7" max="16384" width="9.140625" style="13" customWidth="1"/>
  </cols>
  <sheetData>
    <row r="1" spans="1:11" s="62" customFormat="1" ht="35.25" customHeight="1" thickBot="1" thickTop="1">
      <c r="A1" s="84" t="s">
        <v>117</v>
      </c>
      <c r="B1" s="85"/>
      <c r="C1" s="85"/>
      <c r="D1" s="85"/>
      <c r="E1" s="85"/>
      <c r="F1" s="86"/>
      <c r="G1" s="61"/>
      <c r="H1" s="61"/>
      <c r="I1" s="61"/>
      <c r="J1" s="61"/>
      <c r="K1" s="61"/>
    </row>
    <row r="2" spans="1:11" s="63" customFormat="1" ht="32.25" customHeight="1" thickTop="1">
      <c r="A2" s="89" t="s">
        <v>153</v>
      </c>
      <c r="B2" s="90"/>
      <c r="C2" s="90"/>
      <c r="D2" s="90"/>
      <c r="E2" s="90"/>
      <c r="F2" s="90"/>
      <c r="G2" s="61"/>
      <c r="H2" s="61"/>
      <c r="I2" s="61"/>
      <c r="J2" s="61"/>
      <c r="K2" s="61"/>
    </row>
    <row r="3" spans="1:11" s="63" customFormat="1" ht="47.25" customHeight="1">
      <c r="A3" s="83" t="s">
        <v>156</v>
      </c>
      <c r="B3" s="83"/>
      <c r="C3" s="83"/>
      <c r="D3" s="83"/>
      <c r="E3" s="83"/>
      <c r="F3" s="83"/>
      <c r="G3" s="61"/>
      <c r="H3" s="61"/>
      <c r="I3" s="61"/>
      <c r="J3" s="61"/>
      <c r="K3" s="61"/>
    </row>
    <row r="4" spans="1:11" s="63" customFormat="1" ht="22.5" customHeight="1">
      <c r="A4" s="83" t="s">
        <v>157</v>
      </c>
      <c r="B4" s="83"/>
      <c r="C4" s="83"/>
      <c r="D4" s="83"/>
      <c r="E4" s="83"/>
      <c r="F4" s="83"/>
      <c r="G4" s="61"/>
      <c r="H4" s="61"/>
      <c r="I4" s="61"/>
      <c r="J4" s="61"/>
      <c r="K4" s="61"/>
    </row>
    <row r="5" spans="1:11" s="63" customFormat="1" ht="48.75" customHeight="1">
      <c r="A5" s="83" t="s">
        <v>158</v>
      </c>
      <c r="B5" s="83"/>
      <c r="C5" s="83"/>
      <c r="D5" s="83"/>
      <c r="E5" s="83"/>
      <c r="F5" s="83"/>
      <c r="G5" s="61"/>
      <c r="H5" s="61"/>
      <c r="I5" s="61"/>
      <c r="J5" s="61"/>
      <c r="K5" s="61"/>
    </row>
    <row r="6" spans="1:11" s="63" customFormat="1" ht="21" customHeight="1">
      <c r="A6" s="83" t="s">
        <v>159</v>
      </c>
      <c r="B6" s="83"/>
      <c r="C6" s="83"/>
      <c r="D6" s="83"/>
      <c r="E6" s="83"/>
      <c r="F6" s="83"/>
      <c r="G6" s="61"/>
      <c r="H6" s="61"/>
      <c r="I6" s="61"/>
      <c r="J6" s="61"/>
      <c r="K6" s="61"/>
    </row>
    <row r="7" spans="1:11" s="63" customFormat="1" ht="22.5" customHeight="1">
      <c r="A7" s="83" t="s">
        <v>160</v>
      </c>
      <c r="B7" s="83"/>
      <c r="C7" s="83"/>
      <c r="D7" s="83"/>
      <c r="E7" s="83"/>
      <c r="F7" s="83"/>
      <c r="G7" s="61"/>
      <c r="H7" s="61"/>
      <c r="I7" s="61"/>
      <c r="J7" s="61"/>
      <c r="K7" s="61"/>
    </row>
    <row r="8" spans="1:11" s="63" customFormat="1" ht="22.5" customHeight="1">
      <c r="A8" s="83" t="s">
        <v>161</v>
      </c>
      <c r="B8" s="83"/>
      <c r="C8" s="83"/>
      <c r="D8" s="83"/>
      <c r="E8" s="83"/>
      <c r="F8" s="83"/>
      <c r="G8" s="61"/>
      <c r="H8" s="61"/>
      <c r="I8" s="61"/>
      <c r="J8" s="61"/>
      <c r="K8" s="61"/>
    </row>
    <row r="9" spans="1:11" s="63" customFormat="1" ht="22.5" customHeight="1">
      <c r="A9" s="83" t="s">
        <v>155</v>
      </c>
      <c r="B9" s="83"/>
      <c r="C9" s="83"/>
      <c r="D9" s="83"/>
      <c r="E9" s="83"/>
      <c r="F9" s="83"/>
      <c r="G9" s="61"/>
      <c r="H9" s="61"/>
      <c r="I9" s="61"/>
      <c r="J9" s="61"/>
      <c r="K9" s="61"/>
    </row>
    <row r="10" spans="1:11" s="63" customFormat="1" ht="137.25" customHeight="1" thickBot="1">
      <c r="A10" s="82" t="s">
        <v>154</v>
      </c>
      <c r="B10" s="82"/>
      <c r="C10" s="82"/>
      <c r="D10" s="82"/>
      <c r="E10" s="82"/>
      <c r="F10" s="82"/>
      <c r="G10" s="61"/>
      <c r="H10" s="61"/>
      <c r="I10" s="61"/>
      <c r="J10" s="61"/>
      <c r="K10" s="61"/>
    </row>
    <row r="11" spans="1:6" s="43" customFormat="1" ht="30" thickBot="1" thickTop="1">
      <c r="A11" s="87" t="s">
        <v>167</v>
      </c>
      <c r="B11" s="88"/>
      <c r="C11" s="68" t="s">
        <v>113</v>
      </c>
      <c r="D11" s="68" t="s">
        <v>114</v>
      </c>
      <c r="E11" s="68" t="s">
        <v>115</v>
      </c>
      <c r="F11" s="69" t="s">
        <v>116</v>
      </c>
    </row>
    <row r="12" spans="1:6" s="15" customFormat="1" ht="21.75" thickTop="1">
      <c r="A12" s="64" t="s">
        <v>1</v>
      </c>
      <c r="B12" s="26"/>
      <c r="C12" s="14"/>
      <c r="D12" s="14"/>
      <c r="E12" s="14"/>
      <c r="F12" s="47"/>
    </row>
    <row r="13" spans="1:6" s="17" customFormat="1" ht="21">
      <c r="A13" s="70" t="s">
        <v>2</v>
      </c>
      <c r="B13" s="16"/>
      <c r="C13" s="16">
        <v>0.16</v>
      </c>
      <c r="D13" s="16">
        <v>0.16</v>
      </c>
      <c r="E13" s="16">
        <v>0.16</v>
      </c>
      <c r="F13" s="48">
        <v>0.16</v>
      </c>
    </row>
    <row r="14" spans="1:6" s="17" customFormat="1" ht="21">
      <c r="A14" s="70" t="s">
        <v>90</v>
      </c>
      <c r="B14" s="16"/>
      <c r="C14" s="16">
        <v>0.22</v>
      </c>
      <c r="D14" s="16">
        <v>0.22</v>
      </c>
      <c r="E14" s="16">
        <v>0.22</v>
      </c>
      <c r="F14" s="48">
        <v>0.22</v>
      </c>
    </row>
    <row r="15" spans="1:6" s="4" customFormat="1" ht="21">
      <c r="A15" s="71" t="s">
        <v>68</v>
      </c>
      <c r="B15" s="1">
        <v>45000</v>
      </c>
      <c r="D15" s="1" t="s">
        <v>0</v>
      </c>
      <c r="E15" s="1" t="s">
        <v>0</v>
      </c>
      <c r="F15" s="49" t="s">
        <v>0</v>
      </c>
    </row>
    <row r="16" spans="1:6" s="4" customFormat="1" ht="21">
      <c r="A16" s="71" t="s">
        <v>67</v>
      </c>
      <c r="B16" s="1">
        <v>54000</v>
      </c>
      <c r="C16" s="1"/>
      <c r="D16" s="1"/>
      <c r="E16" s="1"/>
      <c r="F16" s="49"/>
    </row>
    <row r="17" spans="1:6" s="4" customFormat="1" ht="21">
      <c r="A17" s="71" t="s">
        <v>66</v>
      </c>
      <c r="B17" s="1">
        <v>106000</v>
      </c>
      <c r="C17" s="1"/>
      <c r="D17" s="1"/>
      <c r="E17" s="1"/>
      <c r="F17" s="49"/>
    </row>
    <row r="18" spans="1:6" s="4" customFormat="1" ht="21">
      <c r="A18" s="71" t="s">
        <v>69</v>
      </c>
      <c r="B18" s="1">
        <f>B16+B17</f>
        <v>160000</v>
      </c>
      <c r="C18" s="1"/>
      <c r="D18" s="1"/>
      <c r="E18" s="1"/>
      <c r="F18" s="49"/>
    </row>
    <row r="19" spans="1:6" s="4" customFormat="1" ht="21">
      <c r="A19" s="71" t="s">
        <v>124</v>
      </c>
      <c r="B19" s="24">
        <v>29.11813305849704</v>
      </c>
      <c r="C19" s="1"/>
      <c r="D19" s="1"/>
      <c r="E19" s="1"/>
      <c r="F19" s="49"/>
    </row>
    <row r="20" spans="1:6" s="4" customFormat="1" ht="21">
      <c r="A20" s="71" t="s">
        <v>70</v>
      </c>
      <c r="B20" s="1">
        <f>B19*B15</f>
        <v>1310315.9876323668</v>
      </c>
      <c r="C20" s="1"/>
      <c r="D20" s="1"/>
      <c r="E20" s="1"/>
      <c r="F20" s="49"/>
    </row>
    <row r="21" spans="1:6" s="4" customFormat="1" ht="21">
      <c r="A21" s="71" t="s">
        <v>99</v>
      </c>
      <c r="B21" s="1">
        <f>SUM(C21:F21)</f>
        <v>45000</v>
      </c>
      <c r="C21" s="1">
        <v>45000</v>
      </c>
      <c r="D21" s="1">
        <v>0</v>
      </c>
      <c r="E21" s="1">
        <v>0</v>
      </c>
      <c r="F21" s="49">
        <v>0</v>
      </c>
    </row>
    <row r="22" spans="1:6" s="4" customFormat="1" ht="21">
      <c r="A22" s="71" t="s">
        <v>104</v>
      </c>
      <c r="B22" s="1">
        <f>SUM(C22:F22)</f>
        <v>0</v>
      </c>
      <c r="C22" s="1">
        <v>0</v>
      </c>
      <c r="D22" s="1">
        <v>0</v>
      </c>
      <c r="E22" s="1">
        <v>0</v>
      </c>
      <c r="F22" s="49">
        <v>0</v>
      </c>
    </row>
    <row r="23" spans="1:6" s="4" customFormat="1" ht="21">
      <c r="A23" s="71"/>
      <c r="B23" s="1"/>
      <c r="C23" s="1"/>
      <c r="D23" s="1"/>
      <c r="E23" s="1"/>
      <c r="F23" s="49"/>
    </row>
    <row r="24" spans="1:6" s="19" customFormat="1" ht="21">
      <c r="A24" s="71" t="s">
        <v>92</v>
      </c>
      <c r="B24" s="20">
        <f>SUM(C24:F24)</f>
        <v>1</v>
      </c>
      <c r="C24" s="16">
        <v>0.15</v>
      </c>
      <c r="D24" s="41">
        <v>0.2</v>
      </c>
      <c r="E24" s="41">
        <v>0.25</v>
      </c>
      <c r="F24" s="48">
        <v>0.4</v>
      </c>
    </row>
    <row r="25" spans="1:6" s="19" customFormat="1" ht="21">
      <c r="A25" s="71" t="s">
        <v>141</v>
      </c>
      <c r="B25" s="20">
        <f>SUM(C25:F25)</f>
        <v>1</v>
      </c>
      <c r="C25" s="16">
        <f>C170</f>
        <v>0.717226030576834</v>
      </c>
      <c r="D25" s="16">
        <f>D170</f>
        <v>0.144462114543168</v>
      </c>
      <c r="E25" s="16">
        <f>E170</f>
        <v>0.10727863405585923</v>
      </c>
      <c r="F25" s="48">
        <f>F170</f>
        <v>0.031033220824138827</v>
      </c>
    </row>
    <row r="26" spans="1:6" s="4" customFormat="1" ht="21">
      <c r="A26" s="71" t="s">
        <v>151</v>
      </c>
      <c r="B26" s="24">
        <v>8.7</v>
      </c>
      <c r="C26" s="24">
        <f>(1+C13)*B26</f>
        <v>10.091999999999999</v>
      </c>
      <c r="D26" s="24">
        <f>(1+D13)*C26</f>
        <v>11.706719999999997</v>
      </c>
      <c r="E26" s="24">
        <f>(1+E13)*D26</f>
        <v>13.579795199999996</v>
      </c>
      <c r="F26" s="50">
        <f>(1+F13)*E26</f>
        <v>15.752562431999994</v>
      </c>
    </row>
    <row r="27" spans="1:6" s="4" customFormat="1" ht="21">
      <c r="A27" s="71" t="s">
        <v>143</v>
      </c>
      <c r="B27" s="2">
        <f>SUM(C27:F27)</f>
        <v>160000</v>
      </c>
      <c r="C27" s="1">
        <f>C24*$B$18</f>
        <v>24000</v>
      </c>
      <c r="D27" s="1">
        <f>D24*$B$18</f>
        <v>32000</v>
      </c>
      <c r="E27" s="1">
        <f>E24*$B$18</f>
        <v>40000</v>
      </c>
      <c r="F27" s="49">
        <f>F24*$B$18</f>
        <v>64000</v>
      </c>
    </row>
    <row r="28" spans="1:6" s="4" customFormat="1" ht="21">
      <c r="A28" s="71" t="s">
        <v>144</v>
      </c>
      <c r="B28" s="2">
        <f>SUM(C28:F28)</f>
        <v>2168178.843647999</v>
      </c>
      <c r="C28" s="1">
        <f>C27*C26</f>
        <v>242207.99999999997</v>
      </c>
      <c r="D28" s="1">
        <f>D27*D26</f>
        <v>374615.0399999999</v>
      </c>
      <c r="E28" s="1">
        <f>E27*E26</f>
        <v>543191.8079999998</v>
      </c>
      <c r="F28" s="49">
        <f>F27*F26</f>
        <v>1008163.9956479996</v>
      </c>
    </row>
    <row r="29" spans="1:6" s="4" customFormat="1" ht="21">
      <c r="A29" s="71"/>
      <c r="B29" s="2"/>
      <c r="C29" s="1"/>
      <c r="D29" s="1"/>
      <c r="E29" s="1"/>
      <c r="F29" s="49"/>
    </row>
    <row r="30" spans="1:6" s="4" customFormat="1" ht="21">
      <c r="A30" s="64" t="s">
        <v>148</v>
      </c>
      <c r="B30" s="2"/>
      <c r="C30" s="1"/>
      <c r="D30" s="1"/>
      <c r="E30" s="1"/>
      <c r="F30" s="49"/>
    </row>
    <row r="31" spans="1:6" s="19" customFormat="1" ht="21">
      <c r="A31" s="71" t="s">
        <v>142</v>
      </c>
      <c r="B31" s="2">
        <f>SUM(C31:F31)</f>
        <v>242207.99999999997</v>
      </c>
      <c r="C31" s="1">
        <f>$C$28*C25</f>
        <v>173717.88241395378</v>
      </c>
      <c r="D31" s="1">
        <f>$C$28*D25</f>
        <v>34989.879839271634</v>
      </c>
      <c r="E31" s="1">
        <f>$C$28*E25</f>
        <v>25983.74339740155</v>
      </c>
      <c r="F31" s="49">
        <f>$C$28*F25</f>
        <v>7516.494349373016</v>
      </c>
    </row>
    <row r="32" spans="1:6" s="19" customFormat="1" ht="21">
      <c r="A32" s="71" t="s">
        <v>145</v>
      </c>
      <c r="B32" s="2">
        <f>SUM(C32:F32)</f>
        <v>374615.04</v>
      </c>
      <c r="C32" s="1">
        <v>0</v>
      </c>
      <c r="D32" s="1">
        <f>$D$28*(D25+C25)</f>
        <v>322801.3389516553</v>
      </c>
      <c r="E32" s="1">
        <f>$D$28*E25</f>
        <v>40188.18978798106</v>
      </c>
      <c r="F32" s="49">
        <f>$D$28*F25</f>
        <v>11625.511260363597</v>
      </c>
    </row>
    <row r="33" spans="1:6" s="19" customFormat="1" ht="21">
      <c r="A33" s="71" t="s">
        <v>146</v>
      </c>
      <c r="B33" s="2">
        <f>SUM(C33:F33)</f>
        <v>543191.8079999998</v>
      </c>
      <c r="C33" s="1">
        <v>0</v>
      </c>
      <c r="D33" s="1">
        <v>0</v>
      </c>
      <c r="E33" s="1">
        <f>$E$28*(E25+D25+C25)</f>
        <v>526334.8166724726</v>
      </c>
      <c r="F33" s="49">
        <f>$E$28*F25</f>
        <v>16856.991327527216</v>
      </c>
    </row>
    <row r="34" spans="1:6" s="19" customFormat="1" ht="21">
      <c r="A34" s="71" t="s">
        <v>147</v>
      </c>
      <c r="B34" s="2">
        <f>SUM(C34:F34)</f>
        <v>1008163.9956479996</v>
      </c>
      <c r="C34" s="1">
        <v>0</v>
      </c>
      <c r="D34" s="1">
        <v>0</v>
      </c>
      <c r="E34" s="1"/>
      <c r="F34" s="49">
        <f>$F$28*(F25+E25+D25+C25)</f>
        <v>1008163.9956479996</v>
      </c>
    </row>
    <row r="35" spans="1:6" s="19" customFormat="1" ht="21">
      <c r="A35" s="71"/>
      <c r="B35" s="2">
        <f>SUM(C35:F35)</f>
        <v>2168178.8436479997</v>
      </c>
      <c r="C35" s="2">
        <f>SUM(C31:C34)</f>
        <v>173717.88241395378</v>
      </c>
      <c r="D35" s="2">
        <f>SUM(D31:D34)</f>
        <v>357791.21879092697</v>
      </c>
      <c r="E35" s="2">
        <f>SUM(E31:E34)</f>
        <v>592506.7498578553</v>
      </c>
      <c r="F35" s="51">
        <f>SUM(F31:F34)</f>
        <v>1044162.9925852634</v>
      </c>
    </row>
    <row r="36" spans="1:6" s="19" customFormat="1" ht="21">
      <c r="A36" s="71"/>
      <c r="B36" s="2"/>
      <c r="C36" s="2"/>
      <c r="D36" s="2"/>
      <c r="E36" s="2"/>
      <c r="F36" s="51"/>
    </row>
    <row r="37" spans="1:6" s="4" customFormat="1" ht="21">
      <c r="A37" s="64" t="s">
        <v>149</v>
      </c>
      <c r="B37" s="2"/>
      <c r="C37" s="1"/>
      <c r="D37" s="1"/>
      <c r="E37" s="1"/>
      <c r="F37" s="49"/>
    </row>
    <row r="38" spans="1:6" s="19" customFormat="1" ht="21">
      <c r="A38" s="71" t="s">
        <v>142</v>
      </c>
      <c r="B38" s="20">
        <f>SUM(C38:F38)</f>
        <v>0.11171034193493037</v>
      </c>
      <c r="C38" s="16">
        <f aca="true" t="shared" si="0" ref="C38:F42">C31/$B$35</f>
        <v>0.08012156512037094</v>
      </c>
      <c r="D38" s="16">
        <f t="shared" si="0"/>
        <v>0.016137912212260377</v>
      </c>
      <c r="E38" s="16">
        <f t="shared" si="0"/>
        <v>0.011984132892692302</v>
      </c>
      <c r="F38" s="48">
        <f t="shared" si="0"/>
        <v>0.00346673170960675</v>
      </c>
    </row>
    <row r="39" spans="1:6" s="19" customFormat="1" ht="21">
      <c r="A39" s="71" t="s">
        <v>145</v>
      </c>
      <c r="B39" s="20">
        <f>SUM(C39:F39)</f>
        <v>0.17277866219269233</v>
      </c>
      <c r="C39" s="16">
        <f t="shared" si="0"/>
        <v>0</v>
      </c>
      <c r="D39" s="16">
        <f t="shared" si="0"/>
        <v>0.14888132494113646</v>
      </c>
      <c r="E39" s="16">
        <f t="shared" si="0"/>
        <v>0.018535458874030755</v>
      </c>
      <c r="F39" s="48">
        <f t="shared" si="0"/>
        <v>0.005361878377525106</v>
      </c>
    </row>
    <row r="40" spans="1:6" s="19" customFormat="1" ht="21">
      <c r="A40" s="71" t="s">
        <v>146</v>
      </c>
      <c r="B40" s="20">
        <f>SUM(C40:F40)</f>
        <v>0.2505290601794038</v>
      </c>
      <c r="C40" s="16">
        <f t="shared" si="0"/>
        <v>0</v>
      </c>
      <c r="D40" s="16">
        <f t="shared" si="0"/>
        <v>0</v>
      </c>
      <c r="E40" s="16">
        <f t="shared" si="0"/>
        <v>0.24275433653199238</v>
      </c>
      <c r="F40" s="48">
        <f t="shared" si="0"/>
        <v>0.007774723647411404</v>
      </c>
    </row>
    <row r="41" spans="1:6" s="19" customFormat="1" ht="21">
      <c r="A41" s="71" t="s">
        <v>147</v>
      </c>
      <c r="B41" s="20">
        <f>SUM(C41:F41)</f>
        <v>0.46498193569297336</v>
      </c>
      <c r="C41" s="16">
        <f t="shared" si="0"/>
        <v>0</v>
      </c>
      <c r="D41" s="16">
        <f t="shared" si="0"/>
        <v>0</v>
      </c>
      <c r="E41" s="16">
        <f t="shared" si="0"/>
        <v>0</v>
      </c>
      <c r="F41" s="48">
        <f t="shared" si="0"/>
        <v>0.46498193569297336</v>
      </c>
    </row>
    <row r="42" spans="1:6" s="19" customFormat="1" ht="21">
      <c r="A42" s="72"/>
      <c r="B42" s="20">
        <f>SUM(C42:F42)</f>
        <v>0.9999999999999999</v>
      </c>
      <c r="C42" s="20">
        <f t="shared" si="0"/>
        <v>0.08012156512037094</v>
      </c>
      <c r="D42" s="20">
        <f t="shared" si="0"/>
        <v>0.16501923715339684</v>
      </c>
      <c r="E42" s="20">
        <f t="shared" si="0"/>
        <v>0.27327392829871544</v>
      </c>
      <c r="F42" s="52">
        <f t="shared" si="0"/>
        <v>0.48158526942751667</v>
      </c>
    </row>
    <row r="43" spans="1:6" s="4" customFormat="1" ht="21">
      <c r="A43" s="64" t="s">
        <v>150</v>
      </c>
      <c r="B43" s="2"/>
      <c r="C43" s="1"/>
      <c r="D43" s="1"/>
      <c r="E43" s="1"/>
      <c r="F43" s="49"/>
    </row>
    <row r="44" spans="1:6" s="19" customFormat="1" ht="21">
      <c r="A44" s="71" t="s">
        <v>142</v>
      </c>
      <c r="B44" s="20">
        <f>SUM(C44:F44)</f>
        <v>1</v>
      </c>
      <c r="C44" s="16">
        <f aca="true" t="shared" si="1" ref="C44:F47">C31/$B31</f>
        <v>0.717226030576834</v>
      </c>
      <c r="D44" s="16">
        <f t="shared" si="1"/>
        <v>0.144462114543168</v>
      </c>
      <c r="E44" s="16">
        <f t="shared" si="1"/>
        <v>0.10727863405585923</v>
      </c>
      <c r="F44" s="48">
        <f t="shared" si="1"/>
        <v>0.031033220824138827</v>
      </c>
    </row>
    <row r="45" spans="1:6" s="19" customFormat="1" ht="21">
      <c r="A45" s="71" t="s">
        <v>145</v>
      </c>
      <c r="B45" s="20">
        <f>SUM(C45:F45)</f>
        <v>1</v>
      </c>
      <c r="C45" s="16">
        <f t="shared" si="1"/>
        <v>0</v>
      </c>
      <c r="D45" s="16">
        <f t="shared" si="1"/>
        <v>0.8616881451200019</v>
      </c>
      <c r="E45" s="16">
        <f t="shared" si="1"/>
        <v>0.1072786340558592</v>
      </c>
      <c r="F45" s="48">
        <f t="shared" si="1"/>
        <v>0.031033220824138823</v>
      </c>
    </row>
    <row r="46" spans="1:6" s="19" customFormat="1" ht="21">
      <c r="A46" s="71" t="s">
        <v>146</v>
      </c>
      <c r="B46" s="20">
        <f>SUM(C46:F46)</f>
        <v>1</v>
      </c>
      <c r="C46" s="16">
        <f t="shared" si="1"/>
        <v>0</v>
      </c>
      <c r="D46" s="16">
        <f t="shared" si="1"/>
        <v>0</v>
      </c>
      <c r="E46" s="16">
        <f t="shared" si="1"/>
        <v>0.9689667791758612</v>
      </c>
      <c r="F46" s="48">
        <f t="shared" si="1"/>
        <v>0.03103322082413883</v>
      </c>
    </row>
    <row r="47" spans="1:6" s="19" customFormat="1" ht="21">
      <c r="A47" s="71" t="s">
        <v>147</v>
      </c>
      <c r="B47" s="20">
        <f>SUM(C47:F47)</f>
        <v>1</v>
      </c>
      <c r="C47" s="16">
        <f t="shared" si="1"/>
        <v>0</v>
      </c>
      <c r="D47" s="16">
        <f t="shared" si="1"/>
        <v>0</v>
      </c>
      <c r="E47" s="16">
        <f t="shared" si="1"/>
        <v>0</v>
      </c>
      <c r="F47" s="48">
        <f t="shared" si="1"/>
        <v>1</v>
      </c>
    </row>
    <row r="48" spans="1:6" s="19" customFormat="1" ht="21">
      <c r="A48" s="72" t="s">
        <v>27</v>
      </c>
      <c r="B48" s="20">
        <f>SUM(C48:F48)</f>
        <v>2.1445737147339422E-07</v>
      </c>
      <c r="C48" s="20">
        <f>C41/$B$35</f>
        <v>0</v>
      </c>
      <c r="D48" s="20">
        <f>D41/$B$35</f>
        <v>0</v>
      </c>
      <c r="E48" s="20">
        <f>E41/$B$35</f>
        <v>0</v>
      </c>
      <c r="F48" s="52">
        <f>F41/$B$35</f>
        <v>2.1445737147339422E-07</v>
      </c>
    </row>
    <row r="49" spans="1:6" s="19" customFormat="1" ht="21">
      <c r="A49" s="72"/>
      <c r="B49" s="20"/>
      <c r="C49" s="20"/>
      <c r="D49" s="20"/>
      <c r="E49" s="20"/>
      <c r="F49" s="52"/>
    </row>
    <row r="50" spans="1:6" s="18" customFormat="1" ht="21">
      <c r="A50" s="65" t="s">
        <v>109</v>
      </c>
      <c r="B50" s="1"/>
      <c r="C50" s="20"/>
      <c r="D50" s="20"/>
      <c r="E50" s="20"/>
      <c r="F50" s="52"/>
    </row>
    <row r="51" spans="1:6" s="4" customFormat="1" ht="21">
      <c r="A51" s="71" t="s">
        <v>140</v>
      </c>
      <c r="B51" s="24">
        <f>B125/B18</f>
        <v>5.2232486264</v>
      </c>
      <c r="C51" s="1"/>
      <c r="D51" s="1"/>
      <c r="E51" s="1"/>
      <c r="F51" s="49"/>
    </row>
    <row r="52" spans="1:6" s="4" customFormat="1" ht="21">
      <c r="A52" s="71" t="s">
        <v>105</v>
      </c>
      <c r="B52" s="24">
        <f>B20/B18</f>
        <v>8.189474922702292</v>
      </c>
      <c r="C52" s="1"/>
      <c r="D52" s="1"/>
      <c r="E52" s="1"/>
      <c r="F52" s="49"/>
    </row>
    <row r="53" spans="1:6" s="4" customFormat="1" ht="42">
      <c r="A53" s="73" t="s">
        <v>107</v>
      </c>
      <c r="B53" s="24">
        <f>(B160+B161+B159)/B18</f>
        <v>0.516827403848</v>
      </c>
      <c r="C53" s="1"/>
      <c r="D53" s="1"/>
      <c r="E53" s="1"/>
      <c r="F53" s="49"/>
    </row>
    <row r="54" spans="1:6" s="4" customFormat="1" ht="21">
      <c r="A54" s="73" t="s">
        <v>126</v>
      </c>
      <c r="B54" s="24">
        <f>B199/B18</f>
        <v>0</v>
      </c>
      <c r="C54" s="1"/>
      <c r="D54" s="1"/>
      <c r="E54" s="1"/>
      <c r="F54" s="49"/>
    </row>
    <row r="55" spans="1:6" s="18" customFormat="1" ht="21">
      <c r="A55" s="74" t="s">
        <v>108</v>
      </c>
      <c r="B55" s="46">
        <f>B51+B52+B53+B54</f>
        <v>13.929550952950292</v>
      </c>
      <c r="C55" s="2"/>
      <c r="D55" s="2"/>
      <c r="E55" s="2"/>
      <c r="F55" s="51"/>
    </row>
    <row r="56" spans="1:6" s="4" customFormat="1" ht="21">
      <c r="A56" s="71"/>
      <c r="B56" s="1"/>
      <c r="C56" s="1"/>
      <c r="D56" s="1"/>
      <c r="E56" s="1"/>
      <c r="F56" s="49"/>
    </row>
    <row r="57" spans="1:6" s="4" customFormat="1" ht="21">
      <c r="A57" s="71" t="s">
        <v>106</v>
      </c>
      <c r="B57" s="24">
        <f>B173/B18</f>
        <v>13.551117772799994</v>
      </c>
      <c r="C57" s="1"/>
      <c r="D57" s="1"/>
      <c r="E57" s="1"/>
      <c r="F57" s="49"/>
    </row>
    <row r="58" spans="1:6" s="4" customFormat="1" ht="21">
      <c r="A58" s="71" t="s">
        <v>132</v>
      </c>
      <c r="B58" s="24">
        <f>B57-B55</f>
        <v>-0.3784331801502976</v>
      </c>
      <c r="C58" s="1"/>
      <c r="D58" s="1"/>
      <c r="E58" s="1"/>
      <c r="F58" s="49"/>
    </row>
    <row r="59" spans="1:6" s="4" customFormat="1" ht="21">
      <c r="A59" s="71" t="s">
        <v>133</v>
      </c>
      <c r="B59" s="16">
        <f>B58/B55</f>
        <v>-0.027167651091447788</v>
      </c>
      <c r="C59" s="1"/>
      <c r="D59" s="1"/>
      <c r="E59" s="1"/>
      <c r="F59" s="49"/>
    </row>
    <row r="60" spans="1:6" s="4" customFormat="1" ht="21">
      <c r="A60" s="71"/>
      <c r="B60" s="1"/>
      <c r="C60" s="1"/>
      <c r="D60" s="1"/>
      <c r="E60" s="1"/>
      <c r="F60" s="49"/>
    </row>
    <row r="61" spans="1:6" s="4" customFormat="1" ht="21">
      <c r="A61" s="65" t="s">
        <v>134</v>
      </c>
      <c r="B61" s="3" t="s">
        <v>27</v>
      </c>
      <c r="C61" s="2"/>
      <c r="D61" s="2"/>
      <c r="E61" s="2"/>
      <c r="F61" s="51"/>
    </row>
    <row r="62" spans="1:6" s="4" customFormat="1" ht="21">
      <c r="A62" s="71" t="s">
        <v>129</v>
      </c>
      <c r="B62" s="2">
        <f aca="true" t="shared" si="2" ref="B62:B81">SUM(C62:F62)</f>
        <v>2600</v>
      </c>
      <c r="C62" s="1">
        <v>2600</v>
      </c>
      <c r="D62" s="1">
        <v>0</v>
      </c>
      <c r="E62" s="1">
        <v>0</v>
      </c>
      <c r="F62" s="49">
        <v>0</v>
      </c>
    </row>
    <row r="63" spans="1:6" s="4" customFormat="1" ht="21">
      <c r="A63" s="71" t="s">
        <v>71</v>
      </c>
      <c r="B63" s="2">
        <f t="shared" si="2"/>
        <v>16000</v>
      </c>
      <c r="C63" s="1">
        <v>16000</v>
      </c>
      <c r="D63" s="1">
        <v>0</v>
      </c>
      <c r="E63" s="1">
        <v>0</v>
      </c>
      <c r="F63" s="49">
        <v>0</v>
      </c>
    </row>
    <row r="64" spans="1:6" s="4" customFormat="1" ht="21">
      <c r="A64" s="71" t="s">
        <v>72</v>
      </c>
      <c r="B64" s="2">
        <f t="shared" si="2"/>
        <v>108000</v>
      </c>
      <c r="C64" s="1">
        <v>99600</v>
      </c>
      <c r="D64" s="1">
        <v>8400</v>
      </c>
      <c r="E64" s="1">
        <v>0</v>
      </c>
      <c r="F64" s="49">
        <v>0</v>
      </c>
    </row>
    <row r="65" spans="1:6" s="4" customFormat="1" ht="21">
      <c r="A65" s="71" t="s">
        <v>73</v>
      </c>
      <c r="B65" s="2">
        <f t="shared" si="2"/>
        <v>30000</v>
      </c>
      <c r="C65" s="1">
        <v>22500</v>
      </c>
      <c r="D65" s="1">
        <v>7500</v>
      </c>
      <c r="E65" s="1">
        <v>0</v>
      </c>
      <c r="F65" s="49">
        <v>0</v>
      </c>
    </row>
    <row r="66" spans="1:6" s="4" customFormat="1" ht="21">
      <c r="A66" s="71" t="s">
        <v>74</v>
      </c>
      <c r="B66" s="2">
        <f t="shared" si="2"/>
        <v>7600</v>
      </c>
      <c r="C66" s="1">
        <v>4750</v>
      </c>
      <c r="D66" s="1">
        <v>2850</v>
      </c>
      <c r="E66" s="1">
        <v>0</v>
      </c>
      <c r="F66" s="49">
        <v>0</v>
      </c>
    </row>
    <row r="67" spans="1:6" s="4" customFormat="1" ht="21">
      <c r="A67" s="71" t="s">
        <v>76</v>
      </c>
      <c r="B67" s="2">
        <f t="shared" si="2"/>
        <v>41000</v>
      </c>
      <c r="C67" s="1">
        <v>20500</v>
      </c>
      <c r="D67" s="1">
        <v>20500</v>
      </c>
      <c r="E67" s="1">
        <v>0</v>
      </c>
      <c r="F67" s="49">
        <v>0</v>
      </c>
    </row>
    <row r="68" spans="1:6" s="4" customFormat="1" ht="21">
      <c r="A68" s="71" t="s">
        <v>75</v>
      </c>
      <c r="B68" s="2">
        <f t="shared" si="2"/>
        <v>42000</v>
      </c>
      <c r="C68" s="1">
        <v>8400</v>
      </c>
      <c r="D68" s="1">
        <v>31500</v>
      </c>
      <c r="E68" s="1">
        <v>2100</v>
      </c>
      <c r="F68" s="49">
        <v>0</v>
      </c>
    </row>
    <row r="69" spans="1:6" s="4" customFormat="1" ht="21">
      <c r="A69" s="71" t="s">
        <v>77</v>
      </c>
      <c r="B69" s="2">
        <f t="shared" si="2"/>
        <v>50000</v>
      </c>
      <c r="C69" s="1">
        <v>0</v>
      </c>
      <c r="D69" s="1">
        <v>39600</v>
      </c>
      <c r="E69" s="1">
        <v>10400</v>
      </c>
      <c r="F69" s="49">
        <v>0</v>
      </c>
    </row>
    <row r="70" spans="1:6" s="4" customFormat="1" ht="21">
      <c r="A70" s="71" t="s">
        <v>78</v>
      </c>
      <c r="B70" s="2">
        <f t="shared" si="2"/>
        <v>11000</v>
      </c>
      <c r="C70" s="1">
        <v>0</v>
      </c>
      <c r="D70" s="1">
        <v>4900</v>
      </c>
      <c r="E70" s="1">
        <v>6100</v>
      </c>
      <c r="F70" s="49">
        <v>0</v>
      </c>
    </row>
    <row r="71" spans="1:6" s="4" customFormat="1" ht="21">
      <c r="A71" s="71" t="s">
        <v>79</v>
      </c>
      <c r="B71" s="2">
        <f t="shared" si="2"/>
        <v>5000</v>
      </c>
      <c r="C71" s="1">
        <v>0</v>
      </c>
      <c r="D71" s="1">
        <v>0</v>
      </c>
      <c r="E71" s="1">
        <v>3300</v>
      </c>
      <c r="F71" s="49">
        <v>1700</v>
      </c>
    </row>
    <row r="72" spans="1:6" s="4" customFormat="1" ht="21">
      <c r="A72" s="71" t="s">
        <v>89</v>
      </c>
      <c r="B72" s="2">
        <f t="shared" si="2"/>
        <v>53000</v>
      </c>
      <c r="C72" s="1">
        <v>10600</v>
      </c>
      <c r="D72" s="1">
        <v>19600</v>
      </c>
      <c r="E72" s="1">
        <v>22800</v>
      </c>
      <c r="F72" s="49">
        <v>0</v>
      </c>
    </row>
    <row r="73" spans="1:6" s="4" customFormat="1" ht="21">
      <c r="A73" s="71" t="s">
        <v>80</v>
      </c>
      <c r="B73" s="2">
        <f t="shared" si="2"/>
        <v>18000</v>
      </c>
      <c r="C73" s="1">
        <v>0</v>
      </c>
      <c r="D73" s="1">
        <v>0</v>
      </c>
      <c r="E73" s="1">
        <v>13500</v>
      </c>
      <c r="F73" s="49">
        <v>4500</v>
      </c>
    </row>
    <row r="74" spans="1:6" s="4" customFormat="1" ht="21">
      <c r="A74" s="71" t="s">
        <v>81</v>
      </c>
      <c r="B74" s="2">
        <f t="shared" si="2"/>
        <v>13000</v>
      </c>
      <c r="C74" s="1">
        <v>0</v>
      </c>
      <c r="D74" s="1">
        <v>3250</v>
      </c>
      <c r="E74" s="1">
        <v>9750</v>
      </c>
      <c r="F74" s="49">
        <v>0</v>
      </c>
    </row>
    <row r="75" spans="1:6" s="4" customFormat="1" ht="21">
      <c r="A75" s="71" t="s">
        <v>82</v>
      </c>
      <c r="B75" s="2">
        <f t="shared" si="2"/>
        <v>35000</v>
      </c>
      <c r="C75" s="1">
        <v>0</v>
      </c>
      <c r="D75" s="1">
        <v>8750</v>
      </c>
      <c r="E75" s="1">
        <v>21000</v>
      </c>
      <c r="F75" s="49">
        <v>5250</v>
      </c>
    </row>
    <row r="76" spans="1:6" s="4" customFormat="1" ht="21">
      <c r="A76" s="71" t="s">
        <v>83</v>
      </c>
      <c r="B76" s="2">
        <f t="shared" si="2"/>
        <v>76000</v>
      </c>
      <c r="C76" s="1">
        <v>0</v>
      </c>
      <c r="D76" s="1">
        <v>30400</v>
      </c>
      <c r="E76" s="1">
        <v>28500</v>
      </c>
      <c r="F76" s="49">
        <v>17100</v>
      </c>
    </row>
    <row r="77" spans="1:6" s="4" customFormat="1" ht="21">
      <c r="A77" s="71" t="s">
        <v>84</v>
      </c>
      <c r="B77" s="2">
        <f t="shared" si="2"/>
        <v>10000</v>
      </c>
      <c r="C77" s="1">
        <v>2850</v>
      </c>
      <c r="D77" s="1">
        <v>2850</v>
      </c>
      <c r="E77" s="1">
        <v>2850</v>
      </c>
      <c r="F77" s="49">
        <v>1450</v>
      </c>
    </row>
    <row r="78" spans="1:6" s="4" customFormat="1" ht="21">
      <c r="A78" s="72" t="s">
        <v>110</v>
      </c>
      <c r="B78" s="2">
        <f t="shared" si="2"/>
        <v>518200</v>
      </c>
      <c r="C78" s="2">
        <f>SUM(C62:C77)</f>
        <v>187800</v>
      </c>
      <c r="D78" s="2">
        <f>SUM(D62:D77)</f>
        <v>180100</v>
      </c>
      <c r="E78" s="2">
        <f>SUM(E62:E77)</f>
        <v>120300</v>
      </c>
      <c r="F78" s="51">
        <f>SUM(F62:F77)</f>
        <v>30000</v>
      </c>
    </row>
    <row r="79" spans="1:6" s="4" customFormat="1" ht="21">
      <c r="A79" s="71" t="s">
        <v>85</v>
      </c>
      <c r="B79" s="2">
        <f t="shared" si="2"/>
        <v>20728</v>
      </c>
      <c r="C79" s="1">
        <f>0.04*C78</f>
        <v>7512</v>
      </c>
      <c r="D79" s="1">
        <f>0.04*D78</f>
        <v>7204</v>
      </c>
      <c r="E79" s="1">
        <f>0.04*E78</f>
        <v>4812</v>
      </c>
      <c r="F79" s="49">
        <f>0.04*F78</f>
        <v>1200</v>
      </c>
    </row>
    <row r="80" spans="1:6" s="4" customFormat="1" ht="21">
      <c r="A80" s="71" t="s">
        <v>86</v>
      </c>
      <c r="B80" s="2">
        <f t="shared" si="2"/>
        <v>77730</v>
      </c>
      <c r="C80" s="1">
        <f>0.15*C78</f>
        <v>28170</v>
      </c>
      <c r="D80" s="1">
        <f>0.15*D78</f>
        <v>27015</v>
      </c>
      <c r="E80" s="1">
        <f>0.15*E78</f>
        <v>18045</v>
      </c>
      <c r="F80" s="49">
        <f>0.15*F78</f>
        <v>4500</v>
      </c>
    </row>
    <row r="81" spans="1:6" s="4" customFormat="1" ht="21">
      <c r="A81" s="72" t="s">
        <v>88</v>
      </c>
      <c r="B81" s="2">
        <f t="shared" si="2"/>
        <v>616658</v>
      </c>
      <c r="C81" s="2">
        <f>SUM(C78:C80)</f>
        <v>223482</v>
      </c>
      <c r="D81" s="2">
        <f>SUM(D78:D80)</f>
        <v>214319</v>
      </c>
      <c r="E81" s="2">
        <f>SUM(E78:E80)</f>
        <v>143157</v>
      </c>
      <c r="F81" s="51">
        <f>SUM(F78:F80)</f>
        <v>35700</v>
      </c>
    </row>
    <row r="82" spans="1:6" s="4" customFormat="1" ht="21">
      <c r="A82" s="71"/>
      <c r="B82" s="1"/>
      <c r="C82" s="1"/>
      <c r="D82" s="1"/>
      <c r="E82" s="1"/>
      <c r="F82" s="49"/>
    </row>
    <row r="83" spans="1:6" s="4" customFormat="1" ht="21">
      <c r="A83" s="65" t="s">
        <v>135</v>
      </c>
      <c r="B83" s="3" t="s">
        <v>27</v>
      </c>
      <c r="C83" s="2"/>
      <c r="D83" s="2"/>
      <c r="E83" s="2"/>
      <c r="F83" s="51"/>
    </row>
    <row r="84" spans="1:6" s="4" customFormat="1" ht="21">
      <c r="A84" s="71" t="s">
        <v>129</v>
      </c>
      <c r="B84" s="20">
        <f aca="true" t="shared" si="3" ref="B84:B103">SUM(C84:F84)</f>
        <v>0.004216275471979606</v>
      </c>
      <c r="C84" s="16">
        <f aca="true" t="shared" si="4" ref="C84:F103">C62/$B$81</f>
        <v>0.004216275471979606</v>
      </c>
      <c r="D84" s="16">
        <f t="shared" si="4"/>
        <v>0</v>
      </c>
      <c r="E84" s="16">
        <f t="shared" si="4"/>
        <v>0</v>
      </c>
      <c r="F84" s="48">
        <f t="shared" si="4"/>
        <v>0</v>
      </c>
    </row>
    <row r="85" spans="1:6" s="4" customFormat="1" ht="21">
      <c r="A85" s="71" t="s">
        <v>71</v>
      </c>
      <c r="B85" s="20">
        <f t="shared" si="3"/>
        <v>0.025946310596797577</v>
      </c>
      <c r="C85" s="16">
        <f t="shared" si="4"/>
        <v>0.025946310596797577</v>
      </c>
      <c r="D85" s="16">
        <f t="shared" si="4"/>
        <v>0</v>
      </c>
      <c r="E85" s="16">
        <f t="shared" si="4"/>
        <v>0</v>
      </c>
      <c r="F85" s="48">
        <f t="shared" si="4"/>
        <v>0</v>
      </c>
    </row>
    <row r="86" spans="1:6" s="4" customFormat="1" ht="21">
      <c r="A86" s="71" t="s">
        <v>72</v>
      </c>
      <c r="B86" s="20">
        <f t="shared" si="3"/>
        <v>0.17513759652838365</v>
      </c>
      <c r="C86" s="16">
        <f t="shared" si="4"/>
        <v>0.16151578346506493</v>
      </c>
      <c r="D86" s="16">
        <f t="shared" si="4"/>
        <v>0.013621813063318727</v>
      </c>
      <c r="E86" s="16">
        <f t="shared" si="4"/>
        <v>0</v>
      </c>
      <c r="F86" s="48">
        <f t="shared" si="4"/>
        <v>0</v>
      </c>
    </row>
    <row r="87" spans="1:6" s="4" customFormat="1" ht="21">
      <c r="A87" s="71" t="s">
        <v>73</v>
      </c>
      <c r="B87" s="20">
        <f t="shared" si="3"/>
        <v>0.048649332368995456</v>
      </c>
      <c r="C87" s="16">
        <f t="shared" si="4"/>
        <v>0.03648699927674659</v>
      </c>
      <c r="D87" s="16">
        <f t="shared" si="4"/>
        <v>0.012162333092248864</v>
      </c>
      <c r="E87" s="16">
        <f t="shared" si="4"/>
        <v>0</v>
      </c>
      <c r="F87" s="48">
        <f t="shared" si="4"/>
        <v>0</v>
      </c>
    </row>
    <row r="88" spans="1:6" s="4" customFormat="1" ht="21">
      <c r="A88" s="71" t="s">
        <v>74</v>
      </c>
      <c r="B88" s="20">
        <f t="shared" si="3"/>
        <v>0.012324497533478848</v>
      </c>
      <c r="C88" s="16">
        <f t="shared" si="4"/>
        <v>0.007702810958424281</v>
      </c>
      <c r="D88" s="16">
        <f t="shared" si="4"/>
        <v>0.004621686575054568</v>
      </c>
      <c r="E88" s="16">
        <f t="shared" si="4"/>
        <v>0</v>
      </c>
      <c r="F88" s="48">
        <f t="shared" si="4"/>
        <v>0</v>
      </c>
    </row>
    <row r="89" spans="1:6" s="4" customFormat="1" ht="21">
      <c r="A89" s="71" t="s">
        <v>76</v>
      </c>
      <c r="B89" s="20">
        <f t="shared" si="3"/>
        <v>0.06648742090429378</v>
      </c>
      <c r="C89" s="16">
        <f t="shared" si="4"/>
        <v>0.03324371045214689</v>
      </c>
      <c r="D89" s="16">
        <f t="shared" si="4"/>
        <v>0.03324371045214689</v>
      </c>
      <c r="E89" s="16">
        <f t="shared" si="4"/>
        <v>0</v>
      </c>
      <c r="F89" s="48">
        <f t="shared" si="4"/>
        <v>0</v>
      </c>
    </row>
    <row r="90" spans="1:6" s="4" customFormat="1" ht="21">
      <c r="A90" s="71" t="s">
        <v>75</v>
      </c>
      <c r="B90" s="20">
        <f t="shared" si="3"/>
        <v>0.06810906531659364</v>
      </c>
      <c r="C90" s="16">
        <f t="shared" si="4"/>
        <v>0.013621813063318727</v>
      </c>
      <c r="D90" s="16">
        <f t="shared" si="4"/>
        <v>0.05108179898744523</v>
      </c>
      <c r="E90" s="16">
        <f t="shared" si="4"/>
        <v>0.0034054532658296817</v>
      </c>
      <c r="F90" s="48">
        <f t="shared" si="4"/>
        <v>0</v>
      </c>
    </row>
    <row r="91" spans="1:6" s="4" customFormat="1" ht="21">
      <c r="A91" s="71" t="s">
        <v>77</v>
      </c>
      <c r="B91" s="20">
        <f t="shared" si="3"/>
        <v>0.08108222061499243</v>
      </c>
      <c r="C91" s="16">
        <f t="shared" si="4"/>
        <v>0</v>
      </c>
      <c r="D91" s="16">
        <f t="shared" si="4"/>
        <v>0.064217118727074</v>
      </c>
      <c r="E91" s="16">
        <f t="shared" si="4"/>
        <v>0.016865101887918423</v>
      </c>
      <c r="F91" s="48">
        <f t="shared" si="4"/>
        <v>0</v>
      </c>
    </row>
    <row r="92" spans="1:6" s="4" customFormat="1" ht="21">
      <c r="A92" s="71" t="s">
        <v>78</v>
      </c>
      <c r="B92" s="20">
        <f t="shared" si="3"/>
        <v>0.017838088535298335</v>
      </c>
      <c r="C92" s="16">
        <f t="shared" si="4"/>
        <v>0</v>
      </c>
      <c r="D92" s="16">
        <f t="shared" si="4"/>
        <v>0.007946057620269257</v>
      </c>
      <c r="E92" s="16">
        <f t="shared" si="4"/>
        <v>0.009892030915029076</v>
      </c>
      <c r="F92" s="48">
        <f t="shared" si="4"/>
        <v>0</v>
      </c>
    </row>
    <row r="93" spans="1:6" s="4" customFormat="1" ht="21">
      <c r="A93" s="71" t="s">
        <v>79</v>
      </c>
      <c r="B93" s="20">
        <f t="shared" si="3"/>
        <v>0.008108222061499243</v>
      </c>
      <c r="C93" s="16">
        <f t="shared" si="4"/>
        <v>0</v>
      </c>
      <c r="D93" s="16">
        <f t="shared" si="4"/>
        <v>0</v>
      </c>
      <c r="E93" s="16">
        <f t="shared" si="4"/>
        <v>0.0053514265605895004</v>
      </c>
      <c r="F93" s="48">
        <f t="shared" si="4"/>
        <v>0.0027567955009097423</v>
      </c>
    </row>
    <row r="94" spans="1:6" s="4" customFormat="1" ht="21">
      <c r="A94" s="71" t="s">
        <v>89</v>
      </c>
      <c r="B94" s="20">
        <f t="shared" si="3"/>
        <v>0.08594715385189197</v>
      </c>
      <c r="C94" s="16">
        <f t="shared" si="4"/>
        <v>0.017189430770378395</v>
      </c>
      <c r="D94" s="16">
        <f t="shared" si="4"/>
        <v>0.03178423048107703</v>
      </c>
      <c r="E94" s="16">
        <f t="shared" si="4"/>
        <v>0.036973492600436544</v>
      </c>
      <c r="F94" s="48">
        <f t="shared" si="4"/>
        <v>0</v>
      </c>
    </row>
    <row r="95" spans="1:6" s="4" customFormat="1" ht="21">
      <c r="A95" s="71" t="s">
        <v>80</v>
      </c>
      <c r="B95" s="20">
        <f t="shared" si="3"/>
        <v>0.029189599421397275</v>
      </c>
      <c r="C95" s="16">
        <f t="shared" si="4"/>
        <v>0</v>
      </c>
      <c r="D95" s="16">
        <f t="shared" si="4"/>
        <v>0</v>
      </c>
      <c r="E95" s="16">
        <f t="shared" si="4"/>
        <v>0.021892199566047956</v>
      </c>
      <c r="F95" s="48">
        <f t="shared" si="4"/>
        <v>0.007297399855349319</v>
      </c>
    </row>
    <row r="96" spans="1:6" s="4" customFormat="1" ht="21">
      <c r="A96" s="71" t="s">
        <v>81</v>
      </c>
      <c r="B96" s="20">
        <f t="shared" si="3"/>
        <v>0.02108137735989803</v>
      </c>
      <c r="C96" s="16">
        <f t="shared" si="4"/>
        <v>0</v>
      </c>
      <c r="D96" s="16">
        <f t="shared" si="4"/>
        <v>0.0052703443399745075</v>
      </c>
      <c r="E96" s="16">
        <f t="shared" si="4"/>
        <v>0.015811033019923523</v>
      </c>
      <c r="F96" s="48">
        <f t="shared" si="4"/>
        <v>0</v>
      </c>
    </row>
    <row r="97" spans="1:6" s="4" customFormat="1" ht="21">
      <c r="A97" s="71" t="s">
        <v>82</v>
      </c>
      <c r="B97" s="20">
        <f t="shared" si="3"/>
        <v>0.0567575544304947</v>
      </c>
      <c r="C97" s="16">
        <f t="shared" si="4"/>
        <v>0</v>
      </c>
      <c r="D97" s="16">
        <f t="shared" si="4"/>
        <v>0.014189388607623674</v>
      </c>
      <c r="E97" s="16">
        <f t="shared" si="4"/>
        <v>0.03405453265829682</v>
      </c>
      <c r="F97" s="48">
        <f t="shared" si="4"/>
        <v>0.008513633164574205</v>
      </c>
    </row>
    <row r="98" spans="1:6" s="4" customFormat="1" ht="21">
      <c r="A98" s="71" t="s">
        <v>83</v>
      </c>
      <c r="B98" s="20">
        <f t="shared" si="3"/>
        <v>0.12324497533478848</v>
      </c>
      <c r="C98" s="16">
        <f t="shared" si="4"/>
        <v>0</v>
      </c>
      <c r="D98" s="16">
        <f t="shared" si="4"/>
        <v>0.04929799013391539</v>
      </c>
      <c r="E98" s="16">
        <f t="shared" si="4"/>
        <v>0.046216865750545684</v>
      </c>
      <c r="F98" s="48">
        <f t="shared" si="4"/>
        <v>0.02773011945032741</v>
      </c>
    </row>
    <row r="99" spans="1:6" s="4" customFormat="1" ht="21">
      <c r="A99" s="71" t="s">
        <v>84</v>
      </c>
      <c r="B99" s="20">
        <f t="shared" si="3"/>
        <v>0.016216444122998483</v>
      </c>
      <c r="C99" s="16">
        <f t="shared" si="4"/>
        <v>0.004621686575054568</v>
      </c>
      <c r="D99" s="16">
        <f t="shared" si="4"/>
        <v>0.004621686575054568</v>
      </c>
      <c r="E99" s="16">
        <f t="shared" si="4"/>
        <v>0.004621686575054568</v>
      </c>
      <c r="F99" s="48">
        <f t="shared" si="4"/>
        <v>0.0023513843978347805</v>
      </c>
    </row>
    <row r="100" spans="1:6" s="18" customFormat="1" ht="21">
      <c r="A100" s="72" t="s">
        <v>110</v>
      </c>
      <c r="B100" s="20">
        <f t="shared" si="3"/>
        <v>0.8403361344537815</v>
      </c>
      <c r="C100" s="20">
        <f t="shared" si="4"/>
        <v>0.30454482062991156</v>
      </c>
      <c r="D100" s="20">
        <f t="shared" si="4"/>
        <v>0.29205815865520274</v>
      </c>
      <c r="E100" s="20">
        <f t="shared" si="4"/>
        <v>0.1950838227996718</v>
      </c>
      <c r="F100" s="52">
        <f t="shared" si="4"/>
        <v>0.048649332368995456</v>
      </c>
    </row>
    <row r="101" spans="1:6" s="4" customFormat="1" ht="21">
      <c r="A101" s="71" t="s">
        <v>85</v>
      </c>
      <c r="B101" s="20">
        <f t="shared" si="3"/>
        <v>0.03361344537815126</v>
      </c>
      <c r="C101" s="16">
        <f t="shared" si="4"/>
        <v>0.012181792825196462</v>
      </c>
      <c r="D101" s="16">
        <f t="shared" si="4"/>
        <v>0.011682326346208109</v>
      </c>
      <c r="E101" s="16">
        <f t="shared" si="4"/>
        <v>0.007803352911986871</v>
      </c>
      <c r="F101" s="48">
        <f t="shared" si="4"/>
        <v>0.0019459732947598183</v>
      </c>
    </row>
    <row r="102" spans="1:6" s="4" customFormat="1" ht="21">
      <c r="A102" s="71" t="s">
        <v>86</v>
      </c>
      <c r="B102" s="20">
        <f t="shared" si="3"/>
        <v>0.12605042016806722</v>
      </c>
      <c r="C102" s="16">
        <f t="shared" si="4"/>
        <v>0.04568172309448673</v>
      </c>
      <c r="D102" s="16">
        <f t="shared" si="4"/>
        <v>0.04380872379828041</v>
      </c>
      <c r="E102" s="16">
        <f t="shared" si="4"/>
        <v>0.029262573419950765</v>
      </c>
      <c r="F102" s="48">
        <f t="shared" si="4"/>
        <v>0.007297399855349319</v>
      </c>
    </row>
    <row r="103" spans="1:6" s="18" customFormat="1" ht="21">
      <c r="A103" s="72" t="s">
        <v>88</v>
      </c>
      <c r="B103" s="20">
        <f t="shared" si="3"/>
        <v>1</v>
      </c>
      <c r="C103" s="20">
        <f t="shared" si="4"/>
        <v>0.36240833654959476</v>
      </c>
      <c r="D103" s="20">
        <f t="shared" si="4"/>
        <v>0.34754920879969126</v>
      </c>
      <c r="E103" s="20">
        <f t="shared" si="4"/>
        <v>0.2321497491316094</v>
      </c>
      <c r="F103" s="52">
        <f t="shared" si="4"/>
        <v>0.057892705519104595</v>
      </c>
    </row>
    <row r="104" spans="1:6" s="4" customFormat="1" ht="21">
      <c r="A104" s="72"/>
      <c r="B104" s="42"/>
      <c r="C104" s="42"/>
      <c r="D104" s="42"/>
      <c r="E104" s="42"/>
      <c r="F104" s="53"/>
    </row>
    <row r="105" spans="1:6" s="4" customFormat="1" ht="21">
      <c r="A105" s="65" t="s">
        <v>136</v>
      </c>
      <c r="B105" s="3" t="s">
        <v>27</v>
      </c>
      <c r="C105" s="2"/>
      <c r="D105" s="2"/>
      <c r="E105" s="2"/>
      <c r="F105" s="51"/>
    </row>
    <row r="106" spans="1:6" s="4" customFormat="1" ht="21">
      <c r="A106" s="71" t="s">
        <v>129</v>
      </c>
      <c r="B106" s="2">
        <f aca="true" t="shared" si="5" ref="B106:B125">SUM(C106:F106)</f>
        <v>3016</v>
      </c>
      <c r="C106" s="1">
        <f aca="true" t="shared" si="6" ref="C106:C121">C62*(1+C$13)</f>
        <v>3016</v>
      </c>
      <c r="D106" s="1">
        <f aca="true" t="shared" si="7" ref="D106:D121">D62*(1+D$13)*(1+C$13)</f>
        <v>0</v>
      </c>
      <c r="E106" s="1">
        <f aca="true" t="shared" si="8" ref="E106:E121">E62*(1+E$13)*(1+D$13)*(1+C$13)</f>
        <v>0</v>
      </c>
      <c r="F106" s="49">
        <f aca="true" t="shared" si="9" ref="F106:F121">F62*(1+F$13)*(1+E$13)*(1+D$13)*(1+C$13)</f>
        <v>0</v>
      </c>
    </row>
    <row r="107" spans="1:6" s="4" customFormat="1" ht="21">
      <c r="A107" s="71" t="s">
        <v>71</v>
      </c>
      <c r="B107" s="2">
        <f t="shared" si="5"/>
        <v>18560</v>
      </c>
      <c r="C107" s="1">
        <f t="shared" si="6"/>
        <v>18560</v>
      </c>
      <c r="D107" s="1">
        <f t="shared" si="7"/>
        <v>0</v>
      </c>
      <c r="E107" s="1">
        <f t="shared" si="8"/>
        <v>0</v>
      </c>
      <c r="F107" s="49">
        <f t="shared" si="9"/>
        <v>0</v>
      </c>
    </row>
    <row r="108" spans="1:6" s="4" customFormat="1" ht="21">
      <c r="A108" s="71" t="s">
        <v>72</v>
      </c>
      <c r="B108" s="2">
        <f t="shared" si="5"/>
        <v>126839.03999999998</v>
      </c>
      <c r="C108" s="1">
        <f t="shared" si="6"/>
        <v>115535.99999999999</v>
      </c>
      <c r="D108" s="1">
        <f t="shared" si="7"/>
        <v>11303.039999999999</v>
      </c>
      <c r="E108" s="1">
        <f t="shared" si="8"/>
        <v>0</v>
      </c>
      <c r="F108" s="49">
        <f t="shared" si="9"/>
        <v>0</v>
      </c>
    </row>
    <row r="109" spans="1:6" s="4" customFormat="1" ht="21">
      <c r="A109" s="71" t="s">
        <v>73</v>
      </c>
      <c r="B109" s="2">
        <f t="shared" si="5"/>
        <v>36192</v>
      </c>
      <c r="C109" s="1">
        <f t="shared" si="6"/>
        <v>26100</v>
      </c>
      <c r="D109" s="1">
        <f t="shared" si="7"/>
        <v>10092</v>
      </c>
      <c r="E109" s="1">
        <f t="shared" si="8"/>
        <v>0</v>
      </c>
      <c r="F109" s="49">
        <f t="shared" si="9"/>
        <v>0</v>
      </c>
    </row>
    <row r="110" spans="1:6" s="4" customFormat="1" ht="21">
      <c r="A110" s="71" t="s">
        <v>74</v>
      </c>
      <c r="B110" s="2">
        <f t="shared" si="5"/>
        <v>9344.96</v>
      </c>
      <c r="C110" s="1">
        <f t="shared" si="6"/>
        <v>5510</v>
      </c>
      <c r="D110" s="1">
        <f t="shared" si="7"/>
        <v>3834.959999999999</v>
      </c>
      <c r="E110" s="1">
        <f t="shared" si="8"/>
        <v>0</v>
      </c>
      <c r="F110" s="49">
        <f t="shared" si="9"/>
        <v>0</v>
      </c>
    </row>
    <row r="111" spans="1:6" s="18" customFormat="1" ht="21">
      <c r="A111" s="71" t="s">
        <v>76</v>
      </c>
      <c r="B111" s="2">
        <f t="shared" si="5"/>
        <v>51364.8</v>
      </c>
      <c r="C111" s="1">
        <f t="shared" si="6"/>
        <v>23780</v>
      </c>
      <c r="D111" s="1">
        <f t="shared" si="7"/>
        <v>27584.8</v>
      </c>
      <c r="E111" s="1">
        <f t="shared" si="8"/>
        <v>0</v>
      </c>
      <c r="F111" s="49">
        <f t="shared" si="9"/>
        <v>0</v>
      </c>
    </row>
    <row r="112" spans="1:6" s="18" customFormat="1" ht="21">
      <c r="A112" s="71" t="s">
        <v>75</v>
      </c>
      <c r="B112" s="2">
        <f t="shared" si="5"/>
        <v>55408.281599999995</v>
      </c>
      <c r="C112" s="1">
        <f t="shared" si="6"/>
        <v>9744</v>
      </c>
      <c r="D112" s="1">
        <f t="shared" si="7"/>
        <v>42386.399999999994</v>
      </c>
      <c r="E112" s="1">
        <f t="shared" si="8"/>
        <v>3277.8815999999997</v>
      </c>
      <c r="F112" s="49">
        <f t="shared" si="9"/>
        <v>0</v>
      </c>
    </row>
    <row r="113" spans="1:6" s="18" customFormat="1" ht="21">
      <c r="A113" s="71" t="s">
        <v>77</v>
      </c>
      <c r="B113" s="2">
        <f t="shared" si="5"/>
        <v>69519.0784</v>
      </c>
      <c r="C113" s="1">
        <f t="shared" si="6"/>
        <v>0</v>
      </c>
      <c r="D113" s="1">
        <f t="shared" si="7"/>
        <v>53285.759999999995</v>
      </c>
      <c r="E113" s="1">
        <f t="shared" si="8"/>
        <v>16233.318399999998</v>
      </c>
      <c r="F113" s="49">
        <f t="shared" si="9"/>
        <v>0</v>
      </c>
    </row>
    <row r="114" spans="1:6" s="18" customFormat="1" ht="21">
      <c r="A114" s="71" t="s">
        <v>78</v>
      </c>
      <c r="B114" s="2">
        <f t="shared" si="5"/>
        <v>16114.905599999998</v>
      </c>
      <c r="C114" s="1">
        <f t="shared" si="6"/>
        <v>0</v>
      </c>
      <c r="D114" s="1">
        <f t="shared" si="7"/>
        <v>6593.44</v>
      </c>
      <c r="E114" s="1">
        <f t="shared" si="8"/>
        <v>9521.465599999998</v>
      </c>
      <c r="F114" s="49">
        <f t="shared" si="9"/>
        <v>0</v>
      </c>
    </row>
    <row r="115" spans="1:6" s="18" customFormat="1" ht="21">
      <c r="A115" s="71" t="s">
        <v>79</v>
      </c>
      <c r="B115" s="2">
        <f t="shared" si="5"/>
        <v>8229.043711999999</v>
      </c>
      <c r="C115" s="1">
        <f t="shared" si="6"/>
        <v>0</v>
      </c>
      <c r="D115" s="1">
        <f t="shared" si="7"/>
        <v>0</v>
      </c>
      <c r="E115" s="1">
        <f t="shared" si="8"/>
        <v>5150.956799999999</v>
      </c>
      <c r="F115" s="49">
        <f t="shared" si="9"/>
        <v>3078.086911999999</v>
      </c>
    </row>
    <row r="116" spans="1:6" s="18" customFormat="1" ht="21">
      <c r="A116" s="71" t="s">
        <v>89</v>
      </c>
      <c r="B116" s="2">
        <f t="shared" si="5"/>
        <v>74258.18879999997</v>
      </c>
      <c r="C116" s="1">
        <f t="shared" si="6"/>
        <v>12296</v>
      </c>
      <c r="D116" s="1">
        <f t="shared" si="7"/>
        <v>26373.76</v>
      </c>
      <c r="E116" s="1">
        <f t="shared" si="8"/>
        <v>35588.42879999999</v>
      </c>
      <c r="F116" s="49">
        <f t="shared" si="9"/>
        <v>0</v>
      </c>
    </row>
    <row r="117" spans="1:6" s="18" customFormat="1" ht="21">
      <c r="A117" s="71" t="s">
        <v>80</v>
      </c>
      <c r="B117" s="2">
        <f t="shared" si="5"/>
        <v>29219.97311999999</v>
      </c>
      <c r="C117" s="1">
        <f t="shared" si="6"/>
        <v>0</v>
      </c>
      <c r="D117" s="1">
        <f t="shared" si="7"/>
        <v>0</v>
      </c>
      <c r="E117" s="1">
        <f t="shared" si="8"/>
        <v>21072.095999999994</v>
      </c>
      <c r="F117" s="49">
        <f t="shared" si="9"/>
        <v>8147.877119999998</v>
      </c>
    </row>
    <row r="118" spans="1:6" s="25" customFormat="1" ht="21">
      <c r="A118" s="71" t="s">
        <v>81</v>
      </c>
      <c r="B118" s="2">
        <f t="shared" si="5"/>
        <v>19591.935999999994</v>
      </c>
      <c r="C118" s="1">
        <f t="shared" si="6"/>
        <v>0</v>
      </c>
      <c r="D118" s="1">
        <f t="shared" si="7"/>
        <v>4373.199999999999</v>
      </c>
      <c r="E118" s="1">
        <f t="shared" si="8"/>
        <v>15218.735999999997</v>
      </c>
      <c r="F118" s="49">
        <f t="shared" si="9"/>
        <v>0</v>
      </c>
    </row>
    <row r="119" spans="1:6" s="4" customFormat="1" ht="21">
      <c r="A119" s="71" t="s">
        <v>82</v>
      </c>
      <c r="B119" s="2">
        <f t="shared" si="5"/>
        <v>54058.67264</v>
      </c>
      <c r="C119" s="1">
        <f t="shared" si="6"/>
        <v>0</v>
      </c>
      <c r="D119" s="1">
        <f t="shared" si="7"/>
        <v>11774</v>
      </c>
      <c r="E119" s="1">
        <f t="shared" si="8"/>
        <v>32778.816</v>
      </c>
      <c r="F119" s="49">
        <f t="shared" si="9"/>
        <v>9505.856639999998</v>
      </c>
    </row>
    <row r="120" spans="1:6" s="17" customFormat="1" ht="21">
      <c r="A120" s="71" t="s">
        <v>83</v>
      </c>
      <c r="B120" s="2">
        <f t="shared" si="5"/>
        <v>116353.70905599998</v>
      </c>
      <c r="C120" s="1">
        <f t="shared" si="6"/>
        <v>0</v>
      </c>
      <c r="D120" s="1">
        <f t="shared" si="7"/>
        <v>40906.24</v>
      </c>
      <c r="E120" s="1">
        <f t="shared" si="8"/>
        <v>44485.53599999999</v>
      </c>
      <c r="F120" s="49">
        <f t="shared" si="9"/>
        <v>30961.933055999994</v>
      </c>
    </row>
    <row r="121" spans="1:6" s="4" customFormat="1" ht="21">
      <c r="A121" s="71" t="s">
        <v>84</v>
      </c>
      <c r="B121" s="2">
        <f t="shared" si="5"/>
        <v>14214.940671999997</v>
      </c>
      <c r="C121" s="1">
        <f t="shared" si="6"/>
        <v>3305.9999999999995</v>
      </c>
      <c r="D121" s="1">
        <f t="shared" si="7"/>
        <v>3834.959999999999</v>
      </c>
      <c r="E121" s="1">
        <f t="shared" si="8"/>
        <v>4448.553599999998</v>
      </c>
      <c r="F121" s="49">
        <f t="shared" si="9"/>
        <v>2625.427071999999</v>
      </c>
    </row>
    <row r="122" spans="1:6" s="4" customFormat="1" ht="21">
      <c r="A122" s="72" t="s">
        <v>110</v>
      </c>
      <c r="B122" s="2">
        <f t="shared" si="5"/>
        <v>702285.5295999999</v>
      </c>
      <c r="C122" s="2">
        <f>SUM(C106:C121)</f>
        <v>217848</v>
      </c>
      <c r="D122" s="2">
        <f>SUM(D106:D121)</f>
        <v>242342.56</v>
      </c>
      <c r="E122" s="2">
        <f>SUM(E106:E121)</f>
        <v>187775.78879999995</v>
      </c>
      <c r="F122" s="51">
        <f>SUM(F106:F121)</f>
        <v>54319.18079999999</v>
      </c>
    </row>
    <row r="123" spans="1:6" s="19" customFormat="1" ht="21">
      <c r="A123" s="71" t="s">
        <v>85</v>
      </c>
      <c r="B123" s="2">
        <f t="shared" si="5"/>
        <v>28091.421184</v>
      </c>
      <c r="C123" s="1">
        <f>0.04*C122</f>
        <v>8713.92</v>
      </c>
      <c r="D123" s="1">
        <f>0.04*D122</f>
        <v>9693.7024</v>
      </c>
      <c r="E123" s="1">
        <f>0.04*E122</f>
        <v>7511.031551999999</v>
      </c>
      <c r="F123" s="49">
        <f>0.04*F122</f>
        <v>2172.7672319999997</v>
      </c>
    </row>
    <row r="124" spans="1:6" s="19" customFormat="1" ht="21">
      <c r="A124" s="71" t="s">
        <v>86</v>
      </c>
      <c r="B124" s="2">
        <f t="shared" si="5"/>
        <v>105342.82944</v>
      </c>
      <c r="C124" s="1">
        <f>0.15*C122</f>
        <v>32677.199999999997</v>
      </c>
      <c r="D124" s="1">
        <f>0.15*D122</f>
        <v>36351.384</v>
      </c>
      <c r="E124" s="1">
        <f>0.15*E122</f>
        <v>28166.36831999999</v>
      </c>
      <c r="F124" s="49">
        <f>0.15*F122</f>
        <v>8147.877119999997</v>
      </c>
    </row>
    <row r="125" spans="1:6" s="19" customFormat="1" ht="21">
      <c r="A125" s="72" t="s">
        <v>88</v>
      </c>
      <c r="B125" s="2">
        <f t="shared" si="5"/>
        <v>835719.780224</v>
      </c>
      <c r="C125" s="2">
        <f>SUM(C122:C124)</f>
        <v>259239.12</v>
      </c>
      <c r="D125" s="2">
        <f>SUM(D122:D124)</f>
        <v>288387.6464</v>
      </c>
      <c r="E125" s="2">
        <f>SUM(E122:E124)</f>
        <v>223453.18867199993</v>
      </c>
      <c r="F125" s="51">
        <f>SUM(F122:F124)</f>
        <v>64639.82515199998</v>
      </c>
    </row>
    <row r="126" spans="1:6" s="19" customFormat="1" ht="21">
      <c r="A126" s="71"/>
      <c r="B126" s="1"/>
      <c r="C126" s="1"/>
      <c r="D126" s="1"/>
      <c r="E126" s="1"/>
      <c r="F126" s="49"/>
    </row>
    <row r="127" spans="1:6" s="19" customFormat="1" ht="21">
      <c r="A127" s="65" t="s">
        <v>137</v>
      </c>
      <c r="B127" s="3" t="s">
        <v>27</v>
      </c>
      <c r="C127" s="2"/>
      <c r="D127" s="2"/>
      <c r="E127" s="2"/>
      <c r="F127" s="51"/>
    </row>
    <row r="128" spans="1:6" s="19" customFormat="1" ht="21">
      <c r="A128" s="71" t="s">
        <v>129</v>
      </c>
      <c r="B128" s="20">
        <f aca="true" t="shared" si="10" ref="B128:B147">SUM(C128:F128)</f>
        <v>0.003608865161946525</v>
      </c>
      <c r="C128" s="16">
        <f aca="true" t="shared" si="11" ref="C128:F147">C106/$B$125</f>
        <v>0.003608865161946525</v>
      </c>
      <c r="D128" s="16">
        <f t="shared" si="11"/>
        <v>0</v>
      </c>
      <c r="E128" s="16">
        <f t="shared" si="11"/>
        <v>0</v>
      </c>
      <c r="F128" s="48">
        <f t="shared" si="11"/>
        <v>0</v>
      </c>
    </row>
    <row r="129" spans="1:6" s="19" customFormat="1" ht="21">
      <c r="A129" s="71" t="s">
        <v>71</v>
      </c>
      <c r="B129" s="20">
        <f t="shared" si="10"/>
        <v>0.022208400996594</v>
      </c>
      <c r="C129" s="16">
        <f t="shared" si="11"/>
        <v>0.022208400996594</v>
      </c>
      <c r="D129" s="16">
        <f t="shared" si="11"/>
        <v>0</v>
      </c>
      <c r="E129" s="16">
        <f t="shared" si="11"/>
        <v>0</v>
      </c>
      <c r="F129" s="48">
        <f t="shared" si="11"/>
        <v>0</v>
      </c>
    </row>
    <row r="130" spans="1:6" s="19" customFormat="1" ht="21">
      <c r="A130" s="71" t="s">
        <v>72</v>
      </c>
      <c r="B130" s="20">
        <f t="shared" si="10"/>
        <v>0.1517722124107234</v>
      </c>
      <c r="C130" s="16">
        <f t="shared" si="11"/>
        <v>0.13824729620379764</v>
      </c>
      <c r="D130" s="16">
        <f t="shared" si="11"/>
        <v>0.013524916206925745</v>
      </c>
      <c r="E130" s="16">
        <f t="shared" si="11"/>
        <v>0</v>
      </c>
      <c r="F130" s="48">
        <f t="shared" si="11"/>
        <v>0</v>
      </c>
    </row>
    <row r="131" spans="1:6" s="19" customFormat="1" ht="21">
      <c r="A131" s="71" t="s">
        <v>73</v>
      </c>
      <c r="B131" s="20">
        <f t="shared" si="10"/>
        <v>0.0433063819433583</v>
      </c>
      <c r="C131" s="16">
        <f t="shared" si="11"/>
        <v>0.031230563901460312</v>
      </c>
      <c r="D131" s="16">
        <f t="shared" si="11"/>
        <v>0.012075818041897987</v>
      </c>
      <c r="E131" s="16">
        <f t="shared" si="11"/>
        <v>0</v>
      </c>
      <c r="F131" s="48">
        <f t="shared" si="11"/>
        <v>0</v>
      </c>
    </row>
    <row r="132" spans="1:6" s="17" customFormat="1" ht="21">
      <c r="A132" s="71" t="s">
        <v>74</v>
      </c>
      <c r="B132" s="20">
        <f t="shared" si="10"/>
        <v>0.011181929901785077</v>
      </c>
      <c r="C132" s="16">
        <f t="shared" si="11"/>
        <v>0.006593119045863844</v>
      </c>
      <c r="D132" s="16">
        <f t="shared" si="11"/>
        <v>0.0045888108559212345</v>
      </c>
      <c r="E132" s="16">
        <f t="shared" si="11"/>
        <v>0</v>
      </c>
      <c r="F132" s="48">
        <f t="shared" si="11"/>
        <v>0</v>
      </c>
    </row>
    <row r="133" spans="1:6" s="21" customFormat="1" ht="21">
      <c r="A133" s="71" t="s">
        <v>76</v>
      </c>
      <c r="B133" s="20">
        <f t="shared" si="10"/>
        <v>0.06146174975807389</v>
      </c>
      <c r="C133" s="16">
        <f t="shared" si="11"/>
        <v>0.028454513776886063</v>
      </c>
      <c r="D133" s="16">
        <f t="shared" si="11"/>
        <v>0.03300723598118783</v>
      </c>
      <c r="E133" s="16">
        <f t="shared" si="11"/>
        <v>0</v>
      </c>
      <c r="F133" s="48">
        <f t="shared" si="11"/>
        <v>0</v>
      </c>
    </row>
    <row r="134" spans="1:6" s="21" customFormat="1" ht="21">
      <c r="A134" s="71" t="s">
        <v>75</v>
      </c>
      <c r="B134" s="20">
        <f t="shared" si="10"/>
        <v>0.06630007199919186</v>
      </c>
      <c r="C134" s="16">
        <f t="shared" si="11"/>
        <v>0.01165941052321185</v>
      </c>
      <c r="D134" s="16">
        <f t="shared" si="11"/>
        <v>0.05071843577597154</v>
      </c>
      <c r="E134" s="16">
        <f t="shared" si="11"/>
        <v>0.003922225700008466</v>
      </c>
      <c r="F134" s="48">
        <f t="shared" si="11"/>
        <v>0</v>
      </c>
    </row>
    <row r="135" spans="1:6" s="18" customFormat="1" ht="21">
      <c r="A135" s="71" t="s">
        <v>77</v>
      </c>
      <c r="B135" s="20">
        <f t="shared" si="10"/>
        <v>0.08318467510888235</v>
      </c>
      <c r="C135" s="16">
        <f t="shared" si="11"/>
        <v>0</v>
      </c>
      <c r="D135" s="16">
        <f t="shared" si="11"/>
        <v>0.06376031926122137</v>
      </c>
      <c r="E135" s="16">
        <f t="shared" si="11"/>
        <v>0.019424355847660973</v>
      </c>
      <c r="F135" s="48">
        <f t="shared" si="11"/>
        <v>0</v>
      </c>
    </row>
    <row r="136" spans="1:6" s="18" customFormat="1" ht="21">
      <c r="A136" s="71" t="s">
        <v>78</v>
      </c>
      <c r="B136" s="20">
        <f t="shared" si="10"/>
        <v>0.0192826662493027</v>
      </c>
      <c r="C136" s="16">
        <f t="shared" si="11"/>
        <v>0</v>
      </c>
      <c r="D136" s="16">
        <f t="shared" si="11"/>
        <v>0.007889534454040018</v>
      </c>
      <c r="E136" s="16">
        <f t="shared" si="11"/>
        <v>0.011393131795262685</v>
      </c>
      <c r="F136" s="48">
        <f t="shared" si="11"/>
        <v>0</v>
      </c>
    </row>
    <row r="137" spans="1:6" s="18" customFormat="1" ht="21">
      <c r="A137" s="71" t="s">
        <v>79</v>
      </c>
      <c r="B137" s="20">
        <f t="shared" si="10"/>
        <v>0.009846654233545062</v>
      </c>
      <c r="C137" s="16">
        <f t="shared" si="11"/>
        <v>0</v>
      </c>
      <c r="D137" s="16">
        <f t="shared" si="11"/>
        <v>0</v>
      </c>
      <c r="E137" s="16">
        <f t="shared" si="11"/>
        <v>0.006163497528584732</v>
      </c>
      <c r="F137" s="48">
        <f t="shared" si="11"/>
        <v>0.00368315670496033</v>
      </c>
    </row>
    <row r="138" spans="1:6" s="18" customFormat="1" ht="21">
      <c r="A138" s="71" t="s">
        <v>89</v>
      </c>
      <c r="B138" s="20">
        <f t="shared" si="10"/>
        <v>0.08885536821935264</v>
      </c>
      <c r="C138" s="16">
        <f t="shared" si="11"/>
        <v>0.014713065660243526</v>
      </c>
      <c r="D138" s="16">
        <f t="shared" si="11"/>
        <v>0.03155813781616007</v>
      </c>
      <c r="E138" s="16">
        <f t="shared" si="11"/>
        <v>0.04258416474294905</v>
      </c>
      <c r="F138" s="48">
        <f t="shared" si="11"/>
        <v>0</v>
      </c>
    </row>
    <row r="139" spans="1:6" s="18" customFormat="1" ht="21">
      <c r="A139" s="71" t="s">
        <v>80</v>
      </c>
      <c r="B139" s="20">
        <f t="shared" si="10"/>
        <v>0.03496384052578975</v>
      </c>
      <c r="C139" s="16">
        <f t="shared" si="11"/>
        <v>0</v>
      </c>
      <c r="D139" s="16">
        <f t="shared" si="11"/>
        <v>0</v>
      </c>
      <c r="E139" s="16">
        <f t="shared" si="11"/>
        <v>0.02521430807148299</v>
      </c>
      <c r="F139" s="48">
        <f t="shared" si="11"/>
        <v>0.009749532454306757</v>
      </c>
    </row>
    <row r="140" spans="1:6" s="18" customFormat="1" ht="21">
      <c r="A140" s="71" t="s">
        <v>81</v>
      </c>
      <c r="B140" s="20">
        <f t="shared" si="10"/>
        <v>0.023443188092004623</v>
      </c>
      <c r="C140" s="16">
        <f t="shared" si="11"/>
        <v>0</v>
      </c>
      <c r="D140" s="16">
        <f t="shared" si="11"/>
        <v>0.00523285448482246</v>
      </c>
      <c r="E140" s="16">
        <f t="shared" si="11"/>
        <v>0.01821033360718216</v>
      </c>
      <c r="F140" s="48">
        <f t="shared" si="11"/>
        <v>0</v>
      </c>
    </row>
    <row r="141" spans="1:6" s="18" customFormat="1" ht="21">
      <c r="A141" s="71" t="s">
        <v>82</v>
      </c>
      <c r="B141" s="20">
        <f t="shared" si="10"/>
        <v>0.06468516591232353</v>
      </c>
      <c r="C141" s="16">
        <f t="shared" si="11"/>
        <v>0</v>
      </c>
      <c r="D141" s="16">
        <f t="shared" si="11"/>
        <v>0.01408845438221432</v>
      </c>
      <c r="E141" s="16">
        <f t="shared" si="11"/>
        <v>0.039222257000084665</v>
      </c>
      <c r="F141" s="48">
        <f t="shared" si="11"/>
        <v>0.01137445453002455</v>
      </c>
    </row>
    <row r="142" spans="1:6" s="18" customFormat="1" ht="21">
      <c r="A142" s="71" t="s">
        <v>83</v>
      </c>
      <c r="B142" s="20">
        <f t="shared" si="10"/>
        <v>0.13922574505154517</v>
      </c>
      <c r="C142" s="16">
        <f t="shared" si="11"/>
        <v>0</v>
      </c>
      <c r="D142" s="16">
        <f t="shared" si="11"/>
        <v>0.048947315796493175</v>
      </c>
      <c r="E142" s="16">
        <f t="shared" si="11"/>
        <v>0.05323020592868632</v>
      </c>
      <c r="F142" s="48">
        <f t="shared" si="11"/>
        <v>0.037048223326365676</v>
      </c>
    </row>
    <row r="143" spans="1:6" s="18" customFormat="1" ht="21">
      <c r="A143" s="71" t="s">
        <v>84</v>
      </c>
      <c r="B143" s="20">
        <f t="shared" si="10"/>
        <v>0.01700921888936257</v>
      </c>
      <c r="C143" s="16">
        <f t="shared" si="11"/>
        <v>0.003955871427518306</v>
      </c>
      <c r="D143" s="16">
        <f t="shared" si="11"/>
        <v>0.0045888108559212345</v>
      </c>
      <c r="E143" s="16">
        <f t="shared" si="11"/>
        <v>0.005323020592868631</v>
      </c>
      <c r="F143" s="48">
        <f t="shared" si="11"/>
        <v>0.003141516013054399</v>
      </c>
    </row>
    <row r="144" spans="1:6" s="18" customFormat="1" ht="21">
      <c r="A144" s="72" t="s">
        <v>110</v>
      </c>
      <c r="B144" s="20">
        <f t="shared" si="10"/>
        <v>0.8403361344537814</v>
      </c>
      <c r="C144" s="20">
        <f t="shared" si="11"/>
        <v>0.2606711066975221</v>
      </c>
      <c r="D144" s="20">
        <f t="shared" si="11"/>
        <v>0.289980643912777</v>
      </c>
      <c r="E144" s="20">
        <f t="shared" si="11"/>
        <v>0.22468750081477065</v>
      </c>
      <c r="F144" s="52">
        <f t="shared" si="11"/>
        <v>0.06499688302871172</v>
      </c>
    </row>
    <row r="145" spans="1:6" s="18" customFormat="1" ht="21">
      <c r="A145" s="71" t="s">
        <v>85</v>
      </c>
      <c r="B145" s="20">
        <f t="shared" si="10"/>
        <v>0.03361344537815126</v>
      </c>
      <c r="C145" s="16">
        <f t="shared" si="11"/>
        <v>0.010426844267900883</v>
      </c>
      <c r="D145" s="16">
        <f t="shared" si="11"/>
        <v>0.01159922575651108</v>
      </c>
      <c r="E145" s="16">
        <f t="shared" si="11"/>
        <v>0.008987500032590827</v>
      </c>
      <c r="F145" s="48">
        <f t="shared" si="11"/>
        <v>0.0025998753211484687</v>
      </c>
    </row>
    <row r="146" spans="1:6" s="18" customFormat="1" ht="21">
      <c r="A146" s="71" t="s">
        <v>86</v>
      </c>
      <c r="B146" s="20">
        <f t="shared" si="10"/>
        <v>0.12605042016806722</v>
      </c>
      <c r="C146" s="16">
        <f t="shared" si="11"/>
        <v>0.03910066600462831</v>
      </c>
      <c r="D146" s="16">
        <f t="shared" si="11"/>
        <v>0.04349709658691655</v>
      </c>
      <c r="E146" s="16">
        <f t="shared" si="11"/>
        <v>0.0337031251222156</v>
      </c>
      <c r="F146" s="48">
        <f t="shared" si="11"/>
        <v>0.009749532454306755</v>
      </c>
    </row>
    <row r="147" spans="1:6" s="18" customFormat="1" ht="21">
      <c r="A147" s="72" t="s">
        <v>88</v>
      </c>
      <c r="B147" s="20">
        <f t="shared" si="10"/>
        <v>0.9999999999999998</v>
      </c>
      <c r="C147" s="20">
        <f t="shared" si="11"/>
        <v>0.31019861697005124</v>
      </c>
      <c r="D147" s="20">
        <f t="shared" si="11"/>
        <v>0.34507696625620465</v>
      </c>
      <c r="E147" s="20">
        <f t="shared" si="11"/>
        <v>0.26737812596957705</v>
      </c>
      <c r="F147" s="52">
        <f t="shared" si="11"/>
        <v>0.07734629080416694</v>
      </c>
    </row>
    <row r="148" spans="1:6" s="18" customFormat="1" ht="21">
      <c r="A148" s="72"/>
      <c r="B148" s="42"/>
      <c r="C148" s="42"/>
      <c r="D148" s="42"/>
      <c r="E148" s="42"/>
      <c r="F148" s="53"/>
    </row>
    <row r="149" spans="1:6" s="18" customFormat="1" ht="21">
      <c r="A149" s="65" t="s">
        <v>58</v>
      </c>
      <c r="B149" s="3"/>
      <c r="C149" s="2"/>
      <c r="D149" s="2"/>
      <c r="E149" s="2"/>
      <c r="F149" s="51"/>
    </row>
    <row r="150" spans="1:6" s="18" customFormat="1" ht="21">
      <c r="A150" s="71" t="s">
        <v>31</v>
      </c>
      <c r="B150" s="6"/>
      <c r="C150" s="1">
        <v>0</v>
      </c>
      <c r="D150" s="1">
        <f>C154</f>
        <v>55800</v>
      </c>
      <c r="E150" s="1">
        <f>D154</f>
        <v>69192</v>
      </c>
      <c r="F150" s="49">
        <f>E154</f>
        <v>0</v>
      </c>
    </row>
    <row r="151" spans="1:6" s="18" customFormat="1" ht="21">
      <c r="A151" s="71" t="s">
        <v>32</v>
      </c>
      <c r="B151" s="6"/>
      <c r="C151" s="1">
        <f>C21</f>
        <v>45000</v>
      </c>
      <c r="D151" s="1">
        <f>D21</f>
        <v>0</v>
      </c>
      <c r="E151" s="1">
        <f>E21</f>
        <v>0</v>
      </c>
      <c r="F151" s="49">
        <v>0</v>
      </c>
    </row>
    <row r="152" spans="1:6" s="18" customFormat="1" ht="21">
      <c r="A152" s="71" t="s">
        <v>28</v>
      </c>
      <c r="B152" s="6"/>
      <c r="C152" s="1">
        <v>0</v>
      </c>
      <c r="D152" s="1">
        <v>0</v>
      </c>
      <c r="E152" s="1">
        <f>D154</f>
        <v>69192</v>
      </c>
      <c r="F152" s="49">
        <f>E154</f>
        <v>0</v>
      </c>
    </row>
    <row r="153" spans="1:6" s="18" customFormat="1" ht="21">
      <c r="A153" s="71" t="s">
        <v>64</v>
      </c>
      <c r="B153" s="6"/>
      <c r="C153" s="1">
        <f>(0.02+C14)*(C151+C150-C152)</f>
        <v>10800</v>
      </c>
      <c r="D153" s="1">
        <f>(0.02+D14)*(D151+D150-D152)</f>
        <v>13392</v>
      </c>
      <c r="E153" s="1">
        <f>(0.02+E14)*(E151+E150-E152)</f>
        <v>0</v>
      </c>
      <c r="F153" s="49">
        <f>(0.02+F14)*(F151+F150-F152)</f>
        <v>0</v>
      </c>
    </row>
    <row r="154" spans="1:6" s="18" customFormat="1" ht="21">
      <c r="A154" s="71" t="s">
        <v>30</v>
      </c>
      <c r="B154" s="6"/>
      <c r="C154" s="1">
        <f>C150-C152+C153+C151</f>
        <v>55800</v>
      </c>
      <c r="D154" s="1">
        <f>D150-D152+D153+D151</f>
        <v>69192</v>
      </c>
      <c r="E154" s="1">
        <f>E150-E152+E153+E151</f>
        <v>0</v>
      </c>
      <c r="F154" s="49">
        <f>F150-F152+F153+F151</f>
        <v>0</v>
      </c>
    </row>
    <row r="155" spans="1:6" s="18" customFormat="1" ht="21">
      <c r="A155" s="72"/>
      <c r="B155" s="2"/>
      <c r="C155" s="2"/>
      <c r="D155" s="2"/>
      <c r="E155" s="2"/>
      <c r="F155" s="51"/>
    </row>
    <row r="156" spans="1:6" s="18" customFormat="1" ht="21">
      <c r="A156" s="65" t="s">
        <v>131</v>
      </c>
      <c r="B156" s="3"/>
      <c r="C156" s="20"/>
      <c r="D156" s="20"/>
      <c r="E156" s="20"/>
      <c r="F156" s="52"/>
    </row>
    <row r="157" spans="1:6" s="18" customFormat="1" ht="21">
      <c r="A157" s="71" t="s">
        <v>48</v>
      </c>
      <c r="B157" s="2">
        <f aca="true" t="shared" si="12" ref="B157:B162">SUM(C157:F157)</f>
        <v>1310315.9876323668</v>
      </c>
      <c r="C157" s="1">
        <f>B20</f>
        <v>1310315.9876323668</v>
      </c>
      <c r="D157" s="1">
        <f>C20</f>
        <v>0</v>
      </c>
      <c r="E157" s="1">
        <f>D20</f>
        <v>0</v>
      </c>
      <c r="F157" s="49">
        <f>E20</f>
        <v>0</v>
      </c>
    </row>
    <row r="158" spans="1:6" s="18" customFormat="1" ht="21">
      <c r="A158" s="71" t="s">
        <v>96</v>
      </c>
      <c r="B158" s="2">
        <f t="shared" si="12"/>
        <v>835719.780224</v>
      </c>
      <c r="C158" s="1">
        <f>C125</f>
        <v>259239.12</v>
      </c>
      <c r="D158" s="1">
        <f>D125</f>
        <v>288387.6464</v>
      </c>
      <c r="E158" s="1">
        <f>E125</f>
        <v>223453.18867199993</v>
      </c>
      <c r="F158" s="49">
        <f>F125</f>
        <v>64639.82515199998</v>
      </c>
    </row>
    <row r="159" spans="1:6" s="18" customFormat="1" ht="21">
      <c r="A159" s="71" t="s">
        <v>87</v>
      </c>
      <c r="B159" s="2">
        <f t="shared" si="12"/>
        <v>41785.9890112</v>
      </c>
      <c r="C159" s="1">
        <f>0.05*C125</f>
        <v>12961.956</v>
      </c>
      <c r="D159" s="1">
        <f>0.05*D125</f>
        <v>14419.382320000002</v>
      </c>
      <c r="E159" s="1">
        <f>0.05*E125</f>
        <v>11172.659433599998</v>
      </c>
      <c r="F159" s="49">
        <f>0.05*F125</f>
        <v>3231.9912575999992</v>
      </c>
    </row>
    <row r="160" spans="1:6" s="18" customFormat="1" ht="21">
      <c r="A160" s="71" t="s">
        <v>97</v>
      </c>
      <c r="B160" s="2">
        <f t="shared" si="12"/>
        <v>24192</v>
      </c>
      <c r="C160" s="1">
        <f>C153</f>
        <v>10800</v>
      </c>
      <c r="D160" s="1">
        <f>D153</f>
        <v>13392</v>
      </c>
      <c r="E160" s="1">
        <f>E153</f>
        <v>0</v>
      </c>
      <c r="F160" s="49">
        <f>F153</f>
        <v>0</v>
      </c>
    </row>
    <row r="161" spans="1:6" s="18" customFormat="1" ht="21">
      <c r="A161" s="71" t="s">
        <v>98</v>
      </c>
      <c r="B161" s="2">
        <f t="shared" si="12"/>
        <v>16714.39560448</v>
      </c>
      <c r="C161" s="1">
        <f>0.02*C158</f>
        <v>5184.7824</v>
      </c>
      <c r="D161" s="1">
        <f>0.02*D158</f>
        <v>5767.752928000001</v>
      </c>
      <c r="E161" s="1">
        <f>0.02*E158</f>
        <v>4469.063773439999</v>
      </c>
      <c r="F161" s="49">
        <f>0.02*F158</f>
        <v>1292.7965030399996</v>
      </c>
    </row>
    <row r="162" spans="1:6" s="17" customFormat="1" ht="21">
      <c r="A162" s="75" t="s">
        <v>50</v>
      </c>
      <c r="B162" s="2">
        <f t="shared" si="12"/>
        <v>2228728.1524720467</v>
      </c>
      <c r="C162" s="7">
        <f>SUM(C157:C161)</f>
        <v>1598501.8460323669</v>
      </c>
      <c r="D162" s="7">
        <f>SUM(D157:D161)</f>
        <v>321966.781648</v>
      </c>
      <c r="E162" s="7">
        <f>SUM(E157:E161)</f>
        <v>239094.91187903992</v>
      </c>
      <c r="F162" s="54">
        <f>SUM(F157:F161)</f>
        <v>69164.61291263998</v>
      </c>
    </row>
    <row r="163" spans="1:6" s="17" customFormat="1" ht="21">
      <c r="A163" s="71"/>
      <c r="B163" s="1"/>
      <c r="C163" s="1"/>
      <c r="D163" s="1"/>
      <c r="E163" s="1"/>
      <c r="F163" s="49"/>
    </row>
    <row r="164" spans="1:6" s="4" customFormat="1" ht="21">
      <c r="A164" s="65" t="s">
        <v>18</v>
      </c>
      <c r="B164" s="3"/>
      <c r="C164" s="18"/>
      <c r="D164" s="18"/>
      <c r="E164" s="2"/>
      <c r="F164" s="51"/>
    </row>
    <row r="165" spans="1:6" s="21" customFormat="1" ht="21">
      <c r="A165" s="71" t="s">
        <v>48</v>
      </c>
      <c r="B165" s="20">
        <f aca="true" t="shared" si="13" ref="B165:B170">SUM(C165:F165)</f>
        <v>0.587920956703041</v>
      </c>
      <c r="C165" s="16">
        <f aca="true" t="shared" si="14" ref="C165:F170">C157/$B$162</f>
        <v>0.587920956703041</v>
      </c>
      <c r="D165" s="16">
        <f t="shared" si="14"/>
        <v>0</v>
      </c>
      <c r="E165" s="16">
        <f t="shared" si="14"/>
        <v>0</v>
      </c>
      <c r="F165" s="48">
        <f t="shared" si="14"/>
        <v>0</v>
      </c>
    </row>
    <row r="166" spans="1:6" s="17" customFormat="1" ht="21">
      <c r="A166" s="71" t="s">
        <v>49</v>
      </c>
      <c r="B166" s="20">
        <f t="shared" si="13"/>
        <v>0.37497609535601795</v>
      </c>
      <c r="C166" s="16">
        <f t="shared" si="14"/>
        <v>0.11631706617626685</v>
      </c>
      <c r="D166" s="16">
        <f t="shared" si="14"/>
        <v>0.129395613404052</v>
      </c>
      <c r="E166" s="16">
        <f t="shared" si="14"/>
        <v>0.10026040565968153</v>
      </c>
      <c r="F166" s="48">
        <f t="shared" si="14"/>
        <v>0.029003010116017598</v>
      </c>
    </row>
    <row r="167" spans="1:6" s="4" customFormat="1" ht="21">
      <c r="A167" s="71" t="s">
        <v>87</v>
      </c>
      <c r="B167" s="20">
        <f t="shared" si="13"/>
        <v>0.0187488047678009</v>
      </c>
      <c r="C167" s="16">
        <f t="shared" si="14"/>
        <v>0.005815853308813342</v>
      </c>
      <c r="D167" s="16">
        <f t="shared" si="14"/>
        <v>0.0064697806702026005</v>
      </c>
      <c r="E167" s="16">
        <f t="shared" si="14"/>
        <v>0.005013020282984077</v>
      </c>
      <c r="F167" s="48">
        <f t="shared" si="14"/>
        <v>0.00145015050580088</v>
      </c>
    </row>
    <row r="168" spans="1:6" s="4" customFormat="1" ht="21">
      <c r="A168" s="71" t="s">
        <v>14</v>
      </c>
      <c r="B168" s="20">
        <f t="shared" si="13"/>
        <v>0.010854621266019757</v>
      </c>
      <c r="C168" s="16">
        <f t="shared" si="14"/>
        <v>0.004845813065187391</v>
      </c>
      <c r="D168" s="16">
        <f t="shared" si="14"/>
        <v>0.0060088082008323655</v>
      </c>
      <c r="E168" s="16">
        <f t="shared" si="14"/>
        <v>0</v>
      </c>
      <c r="F168" s="48">
        <f t="shared" si="14"/>
        <v>0</v>
      </c>
    </row>
    <row r="169" spans="1:6" s="4" customFormat="1" ht="21">
      <c r="A169" s="71" t="s">
        <v>15</v>
      </c>
      <c r="B169" s="20">
        <f t="shared" si="13"/>
        <v>0.00749952190712036</v>
      </c>
      <c r="C169" s="16">
        <f t="shared" si="14"/>
        <v>0.002326341323525337</v>
      </c>
      <c r="D169" s="16">
        <f t="shared" si="14"/>
        <v>0.0025879122680810404</v>
      </c>
      <c r="E169" s="16">
        <f t="shared" si="14"/>
        <v>0.0020052081131936308</v>
      </c>
      <c r="F169" s="48">
        <f t="shared" si="14"/>
        <v>0.000580060202320352</v>
      </c>
    </row>
    <row r="170" spans="1:6" s="45" customFormat="1" ht="21">
      <c r="A170" s="72" t="s">
        <v>3</v>
      </c>
      <c r="B170" s="20">
        <f t="shared" si="13"/>
        <v>1</v>
      </c>
      <c r="C170" s="20">
        <f t="shared" si="14"/>
        <v>0.717226030576834</v>
      </c>
      <c r="D170" s="20">
        <f t="shared" si="14"/>
        <v>0.144462114543168</v>
      </c>
      <c r="E170" s="20">
        <f t="shared" si="14"/>
        <v>0.10727863405585923</v>
      </c>
      <c r="F170" s="52">
        <f t="shared" si="14"/>
        <v>0.031033220824138827</v>
      </c>
    </row>
    <row r="171" spans="1:6" s="17" customFormat="1" ht="21">
      <c r="A171" s="71"/>
      <c r="B171" s="1"/>
      <c r="C171" s="1"/>
      <c r="D171" s="1"/>
      <c r="E171" s="1"/>
      <c r="F171" s="49"/>
    </row>
    <row r="172" spans="1:6" s="4" customFormat="1" ht="21">
      <c r="A172" s="65" t="s">
        <v>91</v>
      </c>
      <c r="B172" s="27" t="s">
        <v>27</v>
      </c>
      <c r="C172" s="22"/>
      <c r="D172" s="22"/>
      <c r="E172" s="22"/>
      <c r="F172" s="55"/>
    </row>
    <row r="173" spans="1:6" s="21" customFormat="1" ht="21">
      <c r="A173" s="71" t="s">
        <v>94</v>
      </c>
      <c r="B173" s="2">
        <f>SUM(C173:F173)</f>
        <v>2168178.843647999</v>
      </c>
      <c r="C173" s="1">
        <f>C27*C26</f>
        <v>242207.99999999997</v>
      </c>
      <c r="D173" s="1">
        <f>D27*D26</f>
        <v>374615.0399999999</v>
      </c>
      <c r="E173" s="1">
        <f>E27*E26</f>
        <v>543191.8079999998</v>
      </c>
      <c r="F173" s="49">
        <f>F27*F26</f>
        <v>1008163.9956479996</v>
      </c>
    </row>
    <row r="174" spans="1:6" s="4" customFormat="1" ht="21">
      <c r="A174" s="76" t="s">
        <v>93</v>
      </c>
      <c r="B174" s="42">
        <f>SUM(C174:F174)</f>
        <v>1</v>
      </c>
      <c r="C174" s="16">
        <f>C173/$B$173</f>
        <v>0.11171034193493039</v>
      </c>
      <c r="D174" s="16">
        <f>D173/$B$173</f>
        <v>0.17277866219269233</v>
      </c>
      <c r="E174" s="16">
        <f>E173/$B$173</f>
        <v>0.25052906017940385</v>
      </c>
      <c r="F174" s="48">
        <f>F173/$B$173</f>
        <v>0.46498193569297347</v>
      </c>
    </row>
    <row r="175" spans="1:6" s="18" customFormat="1" ht="21">
      <c r="A175" s="66"/>
      <c r="B175" s="12"/>
      <c r="C175" s="22"/>
      <c r="D175" s="22"/>
      <c r="E175" s="22"/>
      <c r="F175" s="55"/>
    </row>
    <row r="176" spans="1:6" s="4" customFormat="1" ht="21">
      <c r="A176" s="65" t="s">
        <v>95</v>
      </c>
      <c r="B176" s="3"/>
      <c r="C176" s="1"/>
      <c r="D176" s="1"/>
      <c r="E176" s="1"/>
      <c r="F176" s="49"/>
    </row>
    <row r="177" spans="1:6" s="4" customFormat="1" ht="21">
      <c r="A177" s="71" t="s">
        <v>48</v>
      </c>
      <c r="B177" s="2">
        <f>SUM(C177:F177)</f>
        <v>1310315.9876323668</v>
      </c>
      <c r="C177" s="1">
        <f>B20</f>
        <v>1310315.9876323668</v>
      </c>
      <c r="D177" s="1">
        <f>C20</f>
        <v>0</v>
      </c>
      <c r="E177" s="1">
        <f>D20</f>
        <v>0</v>
      </c>
      <c r="F177" s="49">
        <f>E20</f>
        <v>0</v>
      </c>
    </row>
    <row r="178" spans="1:6" s="4" customFormat="1" ht="21">
      <c r="A178" s="71" t="s">
        <v>49</v>
      </c>
      <c r="B178" s="2">
        <f>SUM(C178:F178)</f>
        <v>835719.780224</v>
      </c>
      <c r="C178" s="1">
        <f>C158</f>
        <v>259239.12</v>
      </c>
      <c r="D178" s="1">
        <f>D158</f>
        <v>288387.6464</v>
      </c>
      <c r="E178" s="1">
        <f>E158</f>
        <v>223453.18867199993</v>
      </c>
      <c r="F178" s="49">
        <f>F158</f>
        <v>64639.82515199998</v>
      </c>
    </row>
    <row r="179" spans="1:6" s="4" customFormat="1" ht="21">
      <c r="A179" s="72" t="s">
        <v>3</v>
      </c>
      <c r="B179" s="2">
        <f>SUM(C179:F179)</f>
        <v>2146035.767856367</v>
      </c>
      <c r="C179" s="2">
        <f>SUM(C177:C178)</f>
        <v>1569555.107632367</v>
      </c>
      <c r="D179" s="2">
        <f>SUM(D177:D178)</f>
        <v>288387.6464</v>
      </c>
      <c r="E179" s="2">
        <f>SUM(E177:E178)</f>
        <v>223453.18867199993</v>
      </c>
      <c r="F179" s="51">
        <f>SUM(F177:F178)</f>
        <v>64639.82515199998</v>
      </c>
    </row>
    <row r="180" spans="1:6" ht="21">
      <c r="A180" s="72"/>
      <c r="B180" s="2"/>
      <c r="C180" s="2"/>
      <c r="D180" s="2"/>
      <c r="E180" s="2"/>
      <c r="F180" s="51"/>
    </row>
    <row r="181" spans="1:6" ht="21">
      <c r="A181" s="65" t="s">
        <v>65</v>
      </c>
      <c r="B181" s="3"/>
      <c r="C181" s="1"/>
      <c r="D181" s="1"/>
      <c r="E181" s="1"/>
      <c r="F181" s="49"/>
    </row>
    <row r="182" spans="1:6" ht="21">
      <c r="A182" s="71" t="s">
        <v>87</v>
      </c>
      <c r="B182" s="2">
        <f>SUM(C182:F182)</f>
        <v>41785.9890112</v>
      </c>
      <c r="C182" s="1">
        <f aca="true" t="shared" si="15" ref="C182:F184">C159</f>
        <v>12961.956</v>
      </c>
      <c r="D182" s="1">
        <f t="shared" si="15"/>
        <v>14419.382320000002</v>
      </c>
      <c r="E182" s="1">
        <f t="shared" si="15"/>
        <v>11172.659433599998</v>
      </c>
      <c r="F182" s="49">
        <f t="shared" si="15"/>
        <v>3231.9912575999992</v>
      </c>
    </row>
    <row r="183" spans="1:6" ht="21">
      <c r="A183" s="71" t="s">
        <v>14</v>
      </c>
      <c r="B183" s="2">
        <f>SUM(C183:F183)</f>
        <v>24192</v>
      </c>
      <c r="C183" s="1">
        <f t="shared" si="15"/>
        <v>10800</v>
      </c>
      <c r="D183" s="1">
        <f t="shared" si="15"/>
        <v>13392</v>
      </c>
      <c r="E183" s="1">
        <f t="shared" si="15"/>
        <v>0</v>
      </c>
      <c r="F183" s="49">
        <f t="shared" si="15"/>
        <v>0</v>
      </c>
    </row>
    <row r="184" spans="1:6" ht="21">
      <c r="A184" s="71" t="s">
        <v>15</v>
      </c>
      <c r="B184" s="2">
        <f>SUM(C184:F184)</f>
        <v>16714.39560448</v>
      </c>
      <c r="C184" s="1">
        <f t="shared" si="15"/>
        <v>5184.7824</v>
      </c>
      <c r="D184" s="1">
        <f t="shared" si="15"/>
        <v>5767.752928000001</v>
      </c>
      <c r="E184" s="1">
        <f t="shared" si="15"/>
        <v>4469.063773439999</v>
      </c>
      <c r="F184" s="49">
        <f t="shared" si="15"/>
        <v>1292.7965030399996</v>
      </c>
    </row>
    <row r="185" spans="1:6" ht="21">
      <c r="A185" s="72" t="s">
        <v>3</v>
      </c>
      <c r="B185" s="2">
        <f>SUM(C185:F185)</f>
        <v>82692.38461568</v>
      </c>
      <c r="C185" s="2">
        <f>SUM(C182:C184)</f>
        <v>28946.7384</v>
      </c>
      <c r="D185" s="2">
        <f>SUM(D182:D184)</f>
        <v>33579.135248000006</v>
      </c>
      <c r="E185" s="2">
        <f>SUM(E182:E184)</f>
        <v>15641.723207039997</v>
      </c>
      <c r="F185" s="51">
        <f>SUM(F182:F184)</f>
        <v>4524.787760639999</v>
      </c>
    </row>
    <row r="186" spans="1:6" s="4" customFormat="1" ht="21">
      <c r="A186" s="72"/>
      <c r="B186" s="2"/>
      <c r="C186" s="2"/>
      <c r="D186" s="2"/>
      <c r="E186" s="2"/>
      <c r="F186" s="51"/>
    </row>
    <row r="187" spans="1:6" s="4" customFormat="1" ht="21">
      <c r="A187" s="66" t="s">
        <v>125</v>
      </c>
      <c r="B187" s="27"/>
      <c r="C187" s="16"/>
      <c r="D187" s="16"/>
      <c r="E187" s="16"/>
      <c r="F187" s="48"/>
    </row>
    <row r="188" spans="1:6" s="4" customFormat="1" ht="21">
      <c r="A188" s="71" t="s">
        <v>100</v>
      </c>
      <c r="B188" s="2">
        <f>SUM(C188:F188)</f>
        <v>22143.075791632407</v>
      </c>
      <c r="C188" s="1">
        <f>C173-C179</f>
        <v>-1327347.107632367</v>
      </c>
      <c r="D188" s="1">
        <f>D173-D179</f>
        <v>86227.3935999999</v>
      </c>
      <c r="E188" s="1">
        <f>E173-E179</f>
        <v>319738.6193279999</v>
      </c>
      <c r="F188" s="49">
        <f>F173-F179</f>
        <v>943524.1704959996</v>
      </c>
    </row>
    <row r="189" spans="1:6" s="4" customFormat="1" ht="21">
      <c r="A189" s="77"/>
      <c r="B189" s="17"/>
      <c r="C189" s="16"/>
      <c r="D189" s="16"/>
      <c r="E189" s="16"/>
      <c r="F189" s="48"/>
    </row>
    <row r="190" spans="1:6" s="4" customFormat="1" ht="21">
      <c r="A190" s="65" t="s">
        <v>24</v>
      </c>
      <c r="B190" s="3"/>
      <c r="C190" s="1"/>
      <c r="D190" s="1"/>
      <c r="E190" s="1"/>
      <c r="F190" s="49"/>
    </row>
    <row r="191" spans="1:6" s="4" customFormat="1" ht="21">
      <c r="A191" s="71" t="s">
        <v>23</v>
      </c>
      <c r="B191" s="2">
        <f aca="true" t="shared" si="16" ref="B191:B200">SUM(C191:F191)</f>
        <v>2168178.843647999</v>
      </c>
      <c r="C191" s="1">
        <f>C173</f>
        <v>242207.99999999997</v>
      </c>
      <c r="D191" s="1">
        <f>D173</f>
        <v>374615.0399999999</v>
      </c>
      <c r="E191" s="1">
        <f>E173</f>
        <v>543191.8079999998</v>
      </c>
      <c r="F191" s="49">
        <f>F173</f>
        <v>1008163.9956479996</v>
      </c>
    </row>
    <row r="192" spans="1:6" s="4" customFormat="1" ht="21">
      <c r="A192" s="71" t="s">
        <v>47</v>
      </c>
      <c r="B192" s="2">
        <f t="shared" si="16"/>
        <v>2146035.767856367</v>
      </c>
      <c r="C192" s="1">
        <f>C179</f>
        <v>1569555.107632367</v>
      </c>
      <c r="D192" s="1">
        <f>D179</f>
        <v>288387.6464</v>
      </c>
      <c r="E192" s="1">
        <f>E179</f>
        <v>223453.18867199993</v>
      </c>
      <c r="F192" s="49">
        <f>F179</f>
        <v>64639.82515199998</v>
      </c>
    </row>
    <row r="193" spans="1:6" s="4" customFormat="1" ht="21">
      <c r="A193" s="71" t="s">
        <v>20</v>
      </c>
      <c r="B193" s="2">
        <f t="shared" si="16"/>
        <v>22143.075791632407</v>
      </c>
      <c r="C193" s="1">
        <f>C191-C192</f>
        <v>-1327347.107632367</v>
      </c>
      <c r="D193" s="1">
        <f>D191-D192</f>
        <v>86227.3935999999</v>
      </c>
      <c r="E193" s="1">
        <f>E191-E192</f>
        <v>319738.6193279999</v>
      </c>
      <c r="F193" s="49">
        <f>F191-F192</f>
        <v>943524.1704959996</v>
      </c>
    </row>
    <row r="194" spans="1:6" ht="21">
      <c r="A194" s="71" t="s">
        <v>130</v>
      </c>
      <c r="B194" s="2">
        <f t="shared" si="16"/>
        <v>41785.9890112</v>
      </c>
      <c r="C194" s="1">
        <f>C182</f>
        <v>12961.956</v>
      </c>
      <c r="D194" s="1">
        <f>D182</f>
        <v>14419.382320000002</v>
      </c>
      <c r="E194" s="1">
        <f>E182</f>
        <v>11172.659433599998</v>
      </c>
      <c r="F194" s="49">
        <f>F182</f>
        <v>3231.9912575999992</v>
      </c>
    </row>
    <row r="195" spans="1:6" ht="21">
      <c r="A195" s="71" t="s">
        <v>26</v>
      </c>
      <c r="B195" s="2">
        <f t="shared" si="16"/>
        <v>-19642.913219567505</v>
      </c>
      <c r="C195" s="1">
        <f>C193-C194</f>
        <v>-1340309.063632367</v>
      </c>
      <c r="D195" s="1">
        <f>D193-D194</f>
        <v>71808.01127999989</v>
      </c>
      <c r="E195" s="1">
        <f>E193-E194</f>
        <v>308565.95989439986</v>
      </c>
      <c r="F195" s="49">
        <f>F193-F194</f>
        <v>940292.1792383996</v>
      </c>
    </row>
    <row r="196" spans="1:6" ht="21">
      <c r="A196" s="71" t="s">
        <v>25</v>
      </c>
      <c r="B196" s="2">
        <f t="shared" si="16"/>
        <v>24192</v>
      </c>
      <c r="C196" s="1">
        <f aca="true" t="shared" si="17" ref="C196:F197">C183</f>
        <v>10800</v>
      </c>
      <c r="D196" s="1">
        <f t="shared" si="17"/>
        <v>13392</v>
      </c>
      <c r="E196" s="1">
        <f t="shared" si="17"/>
        <v>0</v>
      </c>
      <c r="F196" s="49">
        <f t="shared" si="17"/>
        <v>0</v>
      </c>
    </row>
    <row r="197" spans="1:6" ht="21">
      <c r="A197" s="71" t="s">
        <v>101</v>
      </c>
      <c r="B197" s="2">
        <f t="shared" si="16"/>
        <v>16714.39560448</v>
      </c>
      <c r="C197" s="1">
        <f t="shared" si="17"/>
        <v>5184.7824</v>
      </c>
      <c r="D197" s="1">
        <f t="shared" si="17"/>
        <v>5767.752928000001</v>
      </c>
      <c r="E197" s="1">
        <f t="shared" si="17"/>
        <v>4469.063773439999</v>
      </c>
      <c r="F197" s="49">
        <f t="shared" si="17"/>
        <v>1292.7965030399996</v>
      </c>
    </row>
    <row r="198" spans="1:6" ht="21">
      <c r="A198" s="71" t="s">
        <v>51</v>
      </c>
      <c r="B198" s="2">
        <f t="shared" si="16"/>
        <v>-60549.30882404756</v>
      </c>
      <c r="C198" s="1">
        <f>C195-C196-C197</f>
        <v>-1356293.8460323669</v>
      </c>
      <c r="D198" s="1">
        <f>D195-D196-D197</f>
        <v>52648.25835199989</v>
      </c>
      <c r="E198" s="1">
        <f>E195-E196-E197</f>
        <v>304096.89612095983</v>
      </c>
      <c r="F198" s="49">
        <f>F195-F196-F197</f>
        <v>938999.3827353596</v>
      </c>
    </row>
    <row r="199" spans="1:6" ht="21">
      <c r="A199" s="71" t="s">
        <v>52</v>
      </c>
      <c r="B199" s="2">
        <f t="shared" si="16"/>
        <v>0</v>
      </c>
      <c r="C199" s="1">
        <v>0</v>
      </c>
      <c r="D199" s="1">
        <v>0</v>
      </c>
      <c r="E199" s="1">
        <v>0</v>
      </c>
      <c r="F199" s="49">
        <v>0</v>
      </c>
    </row>
    <row r="200" spans="1:6" ht="21">
      <c r="A200" s="72" t="s">
        <v>19</v>
      </c>
      <c r="B200" s="2">
        <f t="shared" si="16"/>
        <v>-60549.30882404756</v>
      </c>
      <c r="C200" s="2">
        <f>C198-C199</f>
        <v>-1356293.8460323669</v>
      </c>
      <c r="D200" s="2">
        <f>D198-D199</f>
        <v>52648.25835199989</v>
      </c>
      <c r="E200" s="2">
        <f>E198-E199</f>
        <v>304096.89612095983</v>
      </c>
      <c r="F200" s="51">
        <f>F198-F199</f>
        <v>938999.3827353596</v>
      </c>
    </row>
    <row r="201" spans="1:6" ht="21">
      <c r="A201" s="72"/>
      <c r="B201" s="2"/>
      <c r="C201" s="2"/>
      <c r="D201" s="2"/>
      <c r="E201" s="2"/>
      <c r="F201" s="51"/>
    </row>
    <row r="202" spans="1:6" ht="21">
      <c r="A202" s="65" t="s">
        <v>53</v>
      </c>
      <c r="B202" s="3"/>
      <c r="C202" s="1"/>
      <c r="D202" s="1"/>
      <c r="E202" s="1"/>
      <c r="F202" s="49"/>
    </row>
    <row r="203" spans="1:6" ht="21">
      <c r="A203" s="71" t="s">
        <v>19</v>
      </c>
      <c r="B203" s="2">
        <f>SUM(C203:F203)</f>
        <v>-60549.30882404756</v>
      </c>
      <c r="C203" s="1">
        <f>C200</f>
        <v>-1356293.8460323669</v>
      </c>
      <c r="D203" s="1">
        <f>D200</f>
        <v>52648.25835199989</v>
      </c>
      <c r="E203" s="1">
        <f>E200</f>
        <v>304096.89612095983</v>
      </c>
      <c r="F203" s="49">
        <f>F200</f>
        <v>938999.3827353596</v>
      </c>
    </row>
    <row r="204" spans="1:6" s="28" customFormat="1" ht="21">
      <c r="A204" s="71" t="s">
        <v>54</v>
      </c>
      <c r="B204" s="2"/>
      <c r="C204" s="1">
        <v>0</v>
      </c>
      <c r="D204" s="1">
        <f>C208</f>
        <v>-1356293.8460323669</v>
      </c>
      <c r="E204" s="1">
        <f>D208</f>
        <v>-1303645.587680367</v>
      </c>
      <c r="F204" s="49">
        <f>E208</f>
        <v>-999548.6915594072</v>
      </c>
    </row>
    <row r="205" spans="1:6" ht="21">
      <c r="A205" s="71" t="s">
        <v>55</v>
      </c>
      <c r="B205" s="2"/>
      <c r="C205" s="1">
        <f>C203+C204</f>
        <v>-1356293.8460323669</v>
      </c>
      <c r="D205" s="1">
        <f>D203+D204</f>
        <v>-1303645.587680367</v>
      </c>
      <c r="E205" s="1">
        <f>E203+E204</f>
        <v>-999548.6915594072</v>
      </c>
      <c r="F205" s="49">
        <f>F203+F204</f>
        <v>-60549.30882404756</v>
      </c>
    </row>
    <row r="206" spans="1:6" s="4" customFormat="1" ht="21">
      <c r="A206" s="71" t="s">
        <v>56</v>
      </c>
      <c r="B206" s="2">
        <f>SUM(C206:F206)</f>
        <v>0</v>
      </c>
      <c r="C206" s="1">
        <f>IF(C205&lt;0,0,0.05*C205)</f>
        <v>0</v>
      </c>
      <c r="D206" s="1">
        <f>IF(D205&lt;0,0,0.05*D205)</f>
        <v>0</v>
      </c>
      <c r="E206" s="1">
        <f>IF(E205&lt;0,0,0.05*E205)</f>
        <v>0</v>
      </c>
      <c r="F206" s="49">
        <f>IF(F205&lt;0,0,0.05*F205)</f>
        <v>0</v>
      </c>
    </row>
    <row r="207" spans="1:6" s="4" customFormat="1" ht="21">
      <c r="A207" s="71" t="s">
        <v>22</v>
      </c>
      <c r="B207" s="2">
        <f>SUM(C207:F207)</f>
        <v>0</v>
      </c>
      <c r="C207" s="1">
        <v>0</v>
      </c>
      <c r="D207" s="1">
        <v>0</v>
      </c>
      <c r="E207" s="1">
        <v>0</v>
      </c>
      <c r="F207" s="49">
        <v>0</v>
      </c>
    </row>
    <row r="208" spans="1:6" s="4" customFormat="1" ht="21">
      <c r="A208" s="72" t="s">
        <v>57</v>
      </c>
      <c r="B208" s="2"/>
      <c r="C208" s="2">
        <f>C205-C206-C207</f>
        <v>-1356293.8460323669</v>
      </c>
      <c r="D208" s="2">
        <f>D205-D206-D207</f>
        <v>-1303645.587680367</v>
      </c>
      <c r="E208" s="2">
        <f>E205-E206-E207</f>
        <v>-999548.6915594072</v>
      </c>
      <c r="F208" s="51">
        <f>F205-F206-F207</f>
        <v>-60549.30882404756</v>
      </c>
    </row>
    <row r="209" spans="1:6" s="4" customFormat="1" ht="21">
      <c r="A209" s="72"/>
      <c r="B209" s="2"/>
      <c r="C209" s="2"/>
      <c r="D209" s="2"/>
      <c r="E209" s="2"/>
      <c r="F209" s="51"/>
    </row>
    <row r="210" spans="1:6" s="4" customFormat="1" ht="21">
      <c r="A210" s="65" t="s">
        <v>5</v>
      </c>
      <c r="B210" s="3"/>
      <c r="C210" s="1"/>
      <c r="D210" s="1"/>
      <c r="E210" s="1"/>
      <c r="F210" s="49"/>
    </row>
    <row r="211" spans="1:6" s="4" customFormat="1" ht="21">
      <c r="A211" s="71" t="s">
        <v>118</v>
      </c>
      <c r="B211" s="1"/>
      <c r="C211" s="4">
        <f>C194+C196+C197</f>
        <v>28946.7384</v>
      </c>
      <c r="D211" s="4">
        <f>D194+D196+D197</f>
        <v>33579.135248000006</v>
      </c>
      <c r="E211" s="4">
        <f>E194+E196+E197</f>
        <v>15641.723207039997</v>
      </c>
      <c r="F211" s="56">
        <f>F194+F196+F197</f>
        <v>4524.787760639999</v>
      </c>
    </row>
    <row r="212" spans="1:6" s="4" customFormat="1" ht="21">
      <c r="A212" s="71" t="s">
        <v>119</v>
      </c>
      <c r="B212" s="1"/>
      <c r="C212" s="1">
        <f>C192</f>
        <v>1569555.107632367</v>
      </c>
      <c r="D212" s="1">
        <f>D192</f>
        <v>288387.6464</v>
      </c>
      <c r="E212" s="1">
        <f>E192</f>
        <v>223453.18867199993</v>
      </c>
      <c r="F212" s="49">
        <f>F192</f>
        <v>64639.82515199998</v>
      </c>
    </row>
    <row r="213" spans="1:6" s="4" customFormat="1" ht="21">
      <c r="A213" s="72" t="s">
        <v>4</v>
      </c>
      <c r="B213" s="2"/>
      <c r="C213" s="2">
        <f>C211+C212</f>
        <v>1598501.8460323669</v>
      </c>
      <c r="D213" s="2">
        <f>D211+D212</f>
        <v>321966.781648</v>
      </c>
      <c r="E213" s="2">
        <f>E211+E212</f>
        <v>239094.91187903992</v>
      </c>
      <c r="F213" s="51">
        <f>F211+F212</f>
        <v>69164.61291263998</v>
      </c>
    </row>
    <row r="214" spans="1:6" ht="21">
      <c r="A214" s="71"/>
      <c r="B214" s="1"/>
      <c r="C214" s="1"/>
      <c r="D214" s="1"/>
      <c r="E214" s="1"/>
      <c r="F214" s="49"/>
    </row>
    <row r="215" spans="1:6" ht="21">
      <c r="A215" s="65" t="s">
        <v>102</v>
      </c>
      <c r="B215" s="3"/>
      <c r="C215" s="1"/>
      <c r="D215" s="1"/>
      <c r="E215" s="1"/>
      <c r="F215" s="49"/>
    </row>
    <row r="216" spans="1:6" ht="21">
      <c r="A216" s="78" t="s">
        <v>6</v>
      </c>
      <c r="B216" s="24">
        <f>$B$162/(B200+B196)</f>
        <v>-61.30069096307575</v>
      </c>
      <c r="C216" s="24">
        <f>$B$162/(C200+C196)</f>
        <v>-1.656438755958779</v>
      </c>
      <c r="D216" s="24">
        <f>$B$162/(D200+D196)</f>
        <v>33.74802291948566</v>
      </c>
      <c r="E216" s="24">
        <f>$B$162/(E200+E196)</f>
        <v>7.329006579486859</v>
      </c>
      <c r="F216" s="50">
        <f>$B$162/(F200+F196)</f>
        <v>2.373513969710643</v>
      </c>
    </row>
    <row r="217" spans="1:6" ht="21">
      <c r="A217" s="71" t="s">
        <v>139</v>
      </c>
      <c r="B217" s="1">
        <f>B200+B196</f>
        <v>-36357.30882404756</v>
      </c>
      <c r="C217" s="1">
        <f>C200+C196</f>
        <v>-1345493.8460323669</v>
      </c>
      <c r="D217" s="1">
        <f>D200+D196</f>
        <v>66040.25835199989</v>
      </c>
      <c r="E217" s="1">
        <f>E200+E196</f>
        <v>304096.89612095983</v>
      </c>
      <c r="F217" s="49">
        <f>F200+F196</f>
        <v>938999.3827353596</v>
      </c>
    </row>
    <row r="218" spans="1:6" ht="21">
      <c r="A218" s="71" t="s">
        <v>7</v>
      </c>
      <c r="B218" s="1"/>
      <c r="C218" s="1">
        <f>B218+C217</f>
        <v>-1345493.8460323669</v>
      </c>
      <c r="D218" s="1">
        <f>C218+D217</f>
        <v>-1279453.587680367</v>
      </c>
      <c r="E218" s="1">
        <f>D218+E217</f>
        <v>-975356.6915594072</v>
      </c>
      <c r="F218" s="49">
        <f>E218+F217</f>
        <v>-36357.30882404756</v>
      </c>
    </row>
    <row r="219" spans="1:6" ht="21">
      <c r="A219" s="71"/>
      <c r="B219" s="1"/>
      <c r="C219" s="1"/>
      <c r="D219" s="1"/>
      <c r="E219" s="1"/>
      <c r="F219" s="49"/>
    </row>
    <row r="220" spans="1:6" ht="21">
      <c r="A220" s="78" t="s">
        <v>111</v>
      </c>
      <c r="B220" s="24">
        <f>$B$162/B200</f>
        <v>-36.80848214054084</v>
      </c>
      <c r="C220" s="24">
        <f>$B$162/C200</f>
        <v>-1.6432487391960486</v>
      </c>
      <c r="D220" s="24">
        <f>$B$162/D200</f>
        <v>42.33241938548166</v>
      </c>
      <c r="E220" s="24">
        <f>$B$162/E200</f>
        <v>7.329006579486859</v>
      </c>
      <c r="F220" s="50">
        <f>$B$162/F200</f>
        <v>2.373513969710643</v>
      </c>
    </row>
    <row r="221" spans="1:6" ht="21">
      <c r="A221" s="71" t="s">
        <v>138</v>
      </c>
      <c r="B221" s="1">
        <f>B200</f>
        <v>-60549.30882404756</v>
      </c>
      <c r="C221" s="1">
        <f>C200</f>
        <v>-1356293.8460323669</v>
      </c>
      <c r="D221" s="1">
        <f>D200</f>
        <v>52648.25835199989</v>
      </c>
      <c r="E221" s="1">
        <f>E200</f>
        <v>304096.89612095983</v>
      </c>
      <c r="F221" s="49">
        <f>F200</f>
        <v>938999.3827353596</v>
      </c>
    </row>
    <row r="222" spans="1:6" s="28" customFormat="1" ht="21">
      <c r="A222" s="71" t="s">
        <v>112</v>
      </c>
      <c r="B222" s="1"/>
      <c r="C222" s="1">
        <f>B222+C221</f>
        <v>-1356293.8460323669</v>
      </c>
      <c r="D222" s="1">
        <f>C222+D221</f>
        <v>-1303645.587680367</v>
      </c>
      <c r="E222" s="1">
        <f>D222+E221</f>
        <v>-999548.6915594072</v>
      </c>
      <c r="F222" s="49">
        <f>E222+F221</f>
        <v>-60549.30882404756</v>
      </c>
    </row>
    <row r="223" spans="1:6" s="19" customFormat="1" ht="21">
      <c r="A223" s="71"/>
      <c r="B223" s="1"/>
      <c r="C223" s="1"/>
      <c r="D223" s="1"/>
      <c r="E223" s="1"/>
      <c r="F223" s="49"/>
    </row>
    <row r="224" spans="1:6" ht="21">
      <c r="A224" s="65" t="s">
        <v>62</v>
      </c>
      <c r="B224" s="1" t="s">
        <v>121</v>
      </c>
      <c r="D224" s="1"/>
      <c r="E224" s="1"/>
      <c r="F224" s="49"/>
    </row>
    <row r="225" spans="1:6" ht="21">
      <c r="A225" s="71" t="s">
        <v>152</v>
      </c>
      <c r="B225" s="2">
        <f>-C234-C235</f>
        <v>-1310315.9876323668</v>
      </c>
      <c r="C225" s="1">
        <f>C232-C234-C235-C244</f>
        <v>-1068107.9876323668</v>
      </c>
      <c r="D225" s="1">
        <f>D232-D234-D235-D244</f>
        <v>374615.0399999999</v>
      </c>
      <c r="E225" s="1">
        <f>E232-E234-E235-E244</f>
        <v>543191.8079999998</v>
      </c>
      <c r="F225" s="49">
        <f>F232-F234-F235-F244</f>
        <v>1008163.9956479996</v>
      </c>
    </row>
    <row r="226" spans="1:6" ht="21">
      <c r="A226" s="70" t="s">
        <v>8</v>
      </c>
      <c r="B226" s="16"/>
      <c r="C226" s="16">
        <f>1/(1+B228)^1</f>
        <v>0.7691124837008301</v>
      </c>
      <c r="D226" s="16">
        <f>$C226*C226</f>
        <v>0.5915340125844596</v>
      </c>
      <c r="E226" s="16">
        <f>$C226*D226</f>
        <v>0.4549561936123518</v>
      </c>
      <c r="F226" s="48">
        <f>$C226*E226</f>
        <v>0.3499124880442716</v>
      </c>
    </row>
    <row r="227" spans="1:6" ht="21">
      <c r="A227" s="71" t="s">
        <v>9</v>
      </c>
      <c r="B227" s="29">
        <f>SUM(C227:F227)</f>
        <v>0</v>
      </c>
      <c r="C227" s="1">
        <f>C225*C226</f>
        <v>-821495.1872286252</v>
      </c>
      <c r="D227" s="1">
        <f>D225*D226</f>
        <v>221597.53778568777</v>
      </c>
      <c r="E227" s="1">
        <f>E225*E226</f>
        <v>247128.47736909136</v>
      </c>
      <c r="F227" s="49">
        <f>F225*F226</f>
        <v>352769.17207384575</v>
      </c>
    </row>
    <row r="228" spans="1:6" ht="21">
      <c r="A228" s="70" t="s">
        <v>10</v>
      </c>
      <c r="B228" s="16">
        <f>IRR(C225:F225)</f>
        <v>0.3001999332895767</v>
      </c>
      <c r="D228" s="16"/>
      <c r="E228" s="16"/>
      <c r="F228" s="48"/>
    </row>
    <row r="229" spans="1:6" ht="21">
      <c r="A229" s="71"/>
      <c r="B229" s="1"/>
      <c r="C229" s="1"/>
      <c r="D229" s="1"/>
      <c r="E229" s="1"/>
      <c r="F229" s="49"/>
    </row>
    <row r="230" spans="1:6" ht="21">
      <c r="A230" s="65" t="s">
        <v>11</v>
      </c>
      <c r="B230" s="3"/>
      <c r="C230" s="1"/>
      <c r="D230" s="1"/>
      <c r="E230" s="1"/>
      <c r="F230" s="49"/>
    </row>
    <row r="231" spans="1:6" ht="21">
      <c r="A231" s="71" t="s">
        <v>17</v>
      </c>
      <c r="B231" s="1" t="s">
        <v>27</v>
      </c>
      <c r="C231" s="1">
        <v>0</v>
      </c>
      <c r="D231" s="1">
        <f>C248</f>
        <v>-977.8584000000264</v>
      </c>
      <c r="E231" s="1">
        <f>D248</f>
        <v>51670.39995199989</v>
      </c>
      <c r="F231" s="49">
        <f>E248</f>
        <v>286575.2960729598</v>
      </c>
    </row>
    <row r="232" spans="1:6" ht="21">
      <c r="A232" s="71" t="s">
        <v>63</v>
      </c>
      <c r="B232" s="44">
        <f>SUM(C232:F232)</f>
        <v>2168178.843647999</v>
      </c>
      <c r="C232" s="1">
        <f>C173</f>
        <v>242207.99999999997</v>
      </c>
      <c r="D232" s="1">
        <f>D173</f>
        <v>374615.0399999999</v>
      </c>
      <c r="E232" s="1">
        <f>E173</f>
        <v>543191.8079999998</v>
      </c>
      <c r="F232" s="49">
        <f>F173</f>
        <v>1008163.9956479996</v>
      </c>
    </row>
    <row r="233" spans="1:6" ht="21">
      <c r="A233" s="71" t="s">
        <v>16</v>
      </c>
      <c r="B233" s="44">
        <f>SUM(C233:F233)</f>
        <v>0</v>
      </c>
      <c r="C233" s="1">
        <v>0</v>
      </c>
      <c r="D233" s="1">
        <v>0</v>
      </c>
      <c r="E233" s="1">
        <v>0</v>
      </c>
      <c r="F233" s="49">
        <v>0</v>
      </c>
    </row>
    <row r="234" spans="1:6" ht="21">
      <c r="A234" s="71" t="s">
        <v>103</v>
      </c>
      <c r="B234" s="44">
        <f>SUM(C234:F234)</f>
        <v>1310315.9876323668</v>
      </c>
      <c r="C234" s="1">
        <f>C157</f>
        <v>1310315.9876323668</v>
      </c>
      <c r="D234" s="1">
        <v>0</v>
      </c>
      <c r="E234" s="1">
        <v>0</v>
      </c>
      <c r="F234" s="49">
        <v>0</v>
      </c>
    </row>
    <row r="235" spans="1:6" ht="21">
      <c r="A235" s="71" t="s">
        <v>120</v>
      </c>
      <c r="B235" s="44">
        <f>SUM(C235:F235)</f>
        <v>0</v>
      </c>
      <c r="C235" s="1">
        <f>C22</f>
        <v>0</v>
      </c>
      <c r="D235" s="1">
        <f>D22</f>
        <v>0</v>
      </c>
      <c r="E235" s="1">
        <f>E22</f>
        <v>0</v>
      </c>
      <c r="F235" s="49">
        <f>F22</f>
        <v>0</v>
      </c>
    </row>
    <row r="236" spans="1:6" ht="21">
      <c r="A236" s="71" t="s">
        <v>29</v>
      </c>
      <c r="B236" s="44">
        <f>SUM(C236:F236)</f>
        <v>45000</v>
      </c>
      <c r="C236" s="1">
        <f>C151</f>
        <v>45000</v>
      </c>
      <c r="D236" s="1">
        <f>D151</f>
        <v>0</v>
      </c>
      <c r="E236" s="1">
        <f>E151</f>
        <v>0</v>
      </c>
      <c r="F236" s="49">
        <f>F151</f>
        <v>0</v>
      </c>
    </row>
    <row r="237" spans="1:6" ht="21">
      <c r="A237" s="72" t="s">
        <v>12</v>
      </c>
      <c r="B237" s="2"/>
      <c r="C237" s="2">
        <f>SUM(C231:C236)</f>
        <v>1597523.9876323668</v>
      </c>
      <c r="D237" s="2">
        <f>SUM(D231:D236)</f>
        <v>373637.1815999999</v>
      </c>
      <c r="E237" s="2">
        <f>SUM(E231:E236)</f>
        <v>594862.2079519997</v>
      </c>
      <c r="F237" s="51">
        <f>SUM(F231:F236)</f>
        <v>1294739.2917209594</v>
      </c>
    </row>
    <row r="238" spans="1:6" ht="21">
      <c r="A238" s="72"/>
      <c r="B238" s="2"/>
      <c r="C238" s="2"/>
      <c r="D238" s="2"/>
      <c r="E238" s="2"/>
      <c r="F238" s="51"/>
    </row>
    <row r="239" spans="1:6" ht="21">
      <c r="A239" s="71" t="s">
        <v>122</v>
      </c>
      <c r="B239" s="2"/>
      <c r="C239" s="1">
        <f aca="true" t="shared" si="18" ref="C239:F243">C157</f>
        <v>1310315.9876323668</v>
      </c>
      <c r="D239" s="1">
        <f t="shared" si="18"/>
        <v>0</v>
      </c>
      <c r="E239" s="1">
        <f t="shared" si="18"/>
        <v>0</v>
      </c>
      <c r="F239" s="49">
        <f t="shared" si="18"/>
        <v>0</v>
      </c>
    </row>
    <row r="240" spans="1:6" ht="21">
      <c r="A240" s="71" t="s">
        <v>96</v>
      </c>
      <c r="B240" s="1"/>
      <c r="C240" s="1">
        <f t="shared" si="18"/>
        <v>259239.12</v>
      </c>
      <c r="D240" s="1">
        <f t="shared" si="18"/>
        <v>288387.6464</v>
      </c>
      <c r="E240" s="1">
        <f t="shared" si="18"/>
        <v>223453.18867199993</v>
      </c>
      <c r="F240" s="49">
        <f t="shared" si="18"/>
        <v>64639.82515199998</v>
      </c>
    </row>
    <row r="241" spans="1:6" ht="21">
      <c r="A241" s="71" t="s">
        <v>123</v>
      </c>
      <c r="B241" s="1"/>
      <c r="C241" s="1">
        <f t="shared" si="18"/>
        <v>12961.956</v>
      </c>
      <c r="D241" s="1">
        <f t="shared" si="18"/>
        <v>14419.382320000002</v>
      </c>
      <c r="E241" s="1">
        <f t="shared" si="18"/>
        <v>11172.659433599998</v>
      </c>
      <c r="F241" s="49">
        <f t="shared" si="18"/>
        <v>3231.9912575999992</v>
      </c>
    </row>
    <row r="242" spans="1:6" ht="21">
      <c r="A242" s="71" t="s">
        <v>14</v>
      </c>
      <c r="B242" s="1"/>
      <c r="C242" s="1">
        <f t="shared" si="18"/>
        <v>10800</v>
      </c>
      <c r="D242" s="1">
        <f t="shared" si="18"/>
        <v>13392</v>
      </c>
      <c r="E242" s="1">
        <f t="shared" si="18"/>
        <v>0</v>
      </c>
      <c r="F242" s="49">
        <f t="shared" si="18"/>
        <v>0</v>
      </c>
    </row>
    <row r="243" spans="1:6" ht="21">
      <c r="A243" s="71" t="s">
        <v>15</v>
      </c>
      <c r="B243" s="1"/>
      <c r="C243" s="1">
        <f t="shared" si="18"/>
        <v>5184.7824</v>
      </c>
      <c r="D243" s="1">
        <f t="shared" si="18"/>
        <v>5767.752928000001</v>
      </c>
      <c r="E243" s="1">
        <f t="shared" si="18"/>
        <v>4469.063773439999</v>
      </c>
      <c r="F243" s="49">
        <f t="shared" si="18"/>
        <v>1292.7965030399996</v>
      </c>
    </row>
    <row r="244" spans="1:6" ht="21">
      <c r="A244" s="71" t="s">
        <v>59</v>
      </c>
      <c r="B244" s="1"/>
      <c r="C244" s="1">
        <f>C199</f>
        <v>0</v>
      </c>
      <c r="D244" s="1">
        <f>D199</f>
        <v>0</v>
      </c>
      <c r="E244" s="1">
        <f>E199</f>
        <v>0</v>
      </c>
      <c r="F244" s="49">
        <f>F199</f>
        <v>0</v>
      </c>
    </row>
    <row r="245" spans="1:6" ht="21">
      <c r="A245" s="71" t="s">
        <v>60</v>
      </c>
      <c r="B245" s="1"/>
      <c r="C245" s="1">
        <f>C207</f>
        <v>0</v>
      </c>
      <c r="D245" s="1">
        <f>D207</f>
        <v>0</v>
      </c>
      <c r="E245" s="1">
        <f>E207</f>
        <v>0</v>
      </c>
      <c r="F245" s="49">
        <f>F207</f>
        <v>0</v>
      </c>
    </row>
    <row r="246" spans="1:6" ht="21">
      <c r="A246" s="71" t="s">
        <v>61</v>
      </c>
      <c r="B246" s="1"/>
      <c r="C246" s="1">
        <f>C152</f>
        <v>0</v>
      </c>
      <c r="D246" s="1">
        <f>D152</f>
        <v>0</v>
      </c>
      <c r="E246" s="1">
        <f>E152</f>
        <v>69192</v>
      </c>
      <c r="F246" s="49">
        <f>F152</f>
        <v>0</v>
      </c>
    </row>
    <row r="247" spans="1:6" ht="21">
      <c r="A247" s="72" t="s">
        <v>13</v>
      </c>
      <c r="B247" s="2"/>
      <c r="C247" s="2">
        <f>SUM(C239:C246)</f>
        <v>1598501.8460323669</v>
      </c>
      <c r="D247" s="2">
        <f>SUM(D239:D246)</f>
        <v>321966.781648</v>
      </c>
      <c r="E247" s="2">
        <f>SUM(E239:E246)</f>
        <v>308286.91187903995</v>
      </c>
      <c r="F247" s="51">
        <f>SUM(F239:F246)</f>
        <v>69164.61291263998</v>
      </c>
    </row>
    <row r="248" spans="1:6" ht="21">
      <c r="A248" s="75" t="s">
        <v>21</v>
      </c>
      <c r="B248" s="7"/>
      <c r="C248" s="7">
        <f>C237-C247</f>
        <v>-977.8584000000264</v>
      </c>
      <c r="D248" s="7">
        <f>D237-D247</f>
        <v>51670.39995199989</v>
      </c>
      <c r="E248" s="7">
        <f>E237-E247</f>
        <v>286575.2960729598</v>
      </c>
      <c r="F248" s="54">
        <f>F237-F247</f>
        <v>1225574.6788083194</v>
      </c>
    </row>
    <row r="249" spans="1:6" ht="21">
      <c r="A249" s="71"/>
      <c r="B249" s="1"/>
      <c r="C249" s="1"/>
      <c r="D249" s="1"/>
      <c r="E249" s="1"/>
      <c r="F249" s="49"/>
    </row>
    <row r="250" spans="1:6" ht="21">
      <c r="A250" s="65" t="s">
        <v>46</v>
      </c>
      <c r="B250" s="3"/>
      <c r="C250" s="1"/>
      <c r="D250" s="1"/>
      <c r="E250" s="1"/>
      <c r="F250" s="49"/>
    </row>
    <row r="251" spans="1:6" ht="21">
      <c r="A251" s="71" t="s">
        <v>17</v>
      </c>
      <c r="B251" s="1"/>
      <c r="C251" s="16">
        <f aca="true" t="shared" si="19" ref="C251:F256">C231/C$237</f>
        <v>0</v>
      </c>
      <c r="D251" s="16">
        <f t="shared" si="19"/>
        <v>-0.0026171335406519583</v>
      </c>
      <c r="E251" s="16">
        <f t="shared" si="19"/>
        <v>0.08686112390614205</v>
      </c>
      <c r="F251" s="48">
        <f t="shared" si="19"/>
        <v>0.22133822454097743</v>
      </c>
    </row>
    <row r="252" spans="1:6" ht="21">
      <c r="A252" s="71" t="s">
        <v>63</v>
      </c>
      <c r="B252" s="29"/>
      <c r="C252" s="16">
        <f t="shared" si="19"/>
        <v>0.1516146248038302</v>
      </c>
      <c r="D252" s="16">
        <f t="shared" si="19"/>
        <v>1.002617133540652</v>
      </c>
      <c r="E252" s="16">
        <f t="shared" si="19"/>
        <v>0.9131388760938579</v>
      </c>
      <c r="F252" s="48">
        <f t="shared" si="19"/>
        <v>0.7786617754590226</v>
      </c>
    </row>
    <row r="253" spans="1:6" ht="21">
      <c r="A253" s="71" t="s">
        <v>16</v>
      </c>
      <c r="B253" s="29"/>
      <c r="C253" s="16">
        <f t="shared" si="19"/>
        <v>0</v>
      </c>
      <c r="D253" s="16">
        <f t="shared" si="19"/>
        <v>0</v>
      </c>
      <c r="E253" s="16">
        <f t="shared" si="19"/>
        <v>0</v>
      </c>
      <c r="F253" s="48">
        <f t="shared" si="19"/>
        <v>0</v>
      </c>
    </row>
    <row r="254" spans="1:6" ht="21">
      <c r="A254" s="71" t="s">
        <v>103</v>
      </c>
      <c r="B254" s="29"/>
      <c r="C254" s="16">
        <f t="shared" si="19"/>
        <v>0.8202167840836865</v>
      </c>
      <c r="D254" s="16">
        <f t="shared" si="19"/>
        <v>0</v>
      </c>
      <c r="E254" s="16">
        <f t="shared" si="19"/>
        <v>0</v>
      </c>
      <c r="F254" s="48">
        <f t="shared" si="19"/>
        <v>0</v>
      </c>
    </row>
    <row r="255" spans="1:6" ht="21">
      <c r="A255" s="71" t="s">
        <v>120</v>
      </c>
      <c r="B255" s="29"/>
      <c r="C255" s="16">
        <f t="shared" si="19"/>
        <v>0</v>
      </c>
      <c r="D255" s="16">
        <f t="shared" si="19"/>
        <v>0</v>
      </c>
      <c r="E255" s="16">
        <f t="shared" si="19"/>
        <v>0</v>
      </c>
      <c r="F255" s="48">
        <f t="shared" si="19"/>
        <v>0</v>
      </c>
    </row>
    <row r="256" spans="1:6" ht="21">
      <c r="A256" s="71" t="s">
        <v>29</v>
      </c>
      <c r="B256" s="29"/>
      <c r="C256" s="16">
        <f t="shared" si="19"/>
        <v>0.028168591112483318</v>
      </c>
      <c r="D256" s="16">
        <f t="shared" si="19"/>
        <v>0</v>
      </c>
      <c r="E256" s="16">
        <f t="shared" si="19"/>
        <v>0</v>
      </c>
      <c r="F256" s="48">
        <f t="shared" si="19"/>
        <v>0</v>
      </c>
    </row>
    <row r="257" spans="1:6" ht="21">
      <c r="A257" s="72" t="s">
        <v>12</v>
      </c>
      <c r="B257" s="2"/>
      <c r="C257" s="30">
        <f>SUM(C251:C256)</f>
        <v>0.9999999999999999</v>
      </c>
      <c r="D257" s="30">
        <f>SUM(D251:D256)</f>
        <v>1</v>
      </c>
      <c r="E257" s="30">
        <f>SUM(E251:E256)</f>
        <v>1</v>
      </c>
      <c r="F257" s="57">
        <f>SUM(F251:F256)</f>
        <v>1</v>
      </c>
    </row>
    <row r="258" spans="1:6" ht="21">
      <c r="A258" s="72"/>
      <c r="B258" s="2"/>
      <c r="C258" s="2"/>
      <c r="D258" s="2"/>
      <c r="E258" s="2"/>
      <c r="F258" s="51"/>
    </row>
    <row r="259" spans="1:6" ht="21">
      <c r="A259" s="71" t="s">
        <v>122</v>
      </c>
      <c r="B259" s="2"/>
      <c r="C259" s="16">
        <f aca="true" t="shared" si="20" ref="C259:F267">C239/C$247</f>
        <v>0.8197150293474451</v>
      </c>
      <c r="D259" s="16">
        <f t="shared" si="20"/>
        <v>0</v>
      </c>
      <c r="E259" s="16">
        <f t="shared" si="20"/>
        <v>0</v>
      </c>
      <c r="F259" s="48">
        <f t="shared" si="20"/>
        <v>0</v>
      </c>
    </row>
    <row r="260" spans="1:6" ht="21">
      <c r="A260" s="71" t="s">
        <v>96</v>
      </c>
      <c r="B260" s="1"/>
      <c r="C260" s="16">
        <f t="shared" si="20"/>
        <v>0.1621763031700314</v>
      </c>
      <c r="D260" s="16">
        <f t="shared" si="20"/>
        <v>0.8957062120628599</v>
      </c>
      <c r="E260" s="16">
        <f t="shared" si="20"/>
        <v>0.7248221707176283</v>
      </c>
      <c r="F260" s="48">
        <f t="shared" si="20"/>
        <v>0.9345794392523366</v>
      </c>
    </row>
    <row r="261" spans="1:6" ht="21">
      <c r="A261" s="71" t="s">
        <v>123</v>
      </c>
      <c r="B261" s="1"/>
      <c r="C261" s="16">
        <f t="shared" si="20"/>
        <v>0.008108815158501571</v>
      </c>
      <c r="D261" s="16">
        <f t="shared" si="20"/>
        <v>0.044785310603143</v>
      </c>
      <c r="E261" s="16">
        <f t="shared" si="20"/>
        <v>0.036241108535881424</v>
      </c>
      <c r="F261" s="48">
        <f t="shared" si="20"/>
        <v>0.04672897196261683</v>
      </c>
    </row>
    <row r="262" spans="1:6" ht="21">
      <c r="A262" s="71" t="s">
        <v>14</v>
      </c>
      <c r="B262" s="1"/>
      <c r="C262" s="16">
        <f t="shared" si="20"/>
        <v>0.006756326260621234</v>
      </c>
      <c r="D262" s="16">
        <f t="shared" si="20"/>
        <v>0.0415943530927399</v>
      </c>
      <c r="E262" s="16">
        <f t="shared" si="20"/>
        <v>0</v>
      </c>
      <c r="F262" s="48">
        <f t="shared" si="20"/>
        <v>0</v>
      </c>
    </row>
    <row r="263" spans="1:6" ht="21">
      <c r="A263" s="71" t="s">
        <v>15</v>
      </c>
      <c r="B263" s="1"/>
      <c r="C263" s="16">
        <f t="shared" si="20"/>
        <v>0.003243526063400628</v>
      </c>
      <c r="D263" s="16">
        <f t="shared" si="20"/>
        <v>0.017914124241257202</v>
      </c>
      <c r="E263" s="16">
        <f t="shared" si="20"/>
        <v>0.014496443414352567</v>
      </c>
      <c r="F263" s="48">
        <f t="shared" si="20"/>
        <v>0.01869158878504673</v>
      </c>
    </row>
    <row r="264" spans="1:6" ht="21">
      <c r="A264" s="71" t="s">
        <v>59</v>
      </c>
      <c r="B264" s="1"/>
      <c r="C264" s="16">
        <f t="shared" si="20"/>
        <v>0</v>
      </c>
      <c r="D264" s="16">
        <f t="shared" si="20"/>
        <v>0</v>
      </c>
      <c r="E264" s="16">
        <f t="shared" si="20"/>
        <v>0</v>
      </c>
      <c r="F264" s="48">
        <f t="shared" si="20"/>
        <v>0</v>
      </c>
    </row>
    <row r="265" spans="1:6" ht="21">
      <c r="A265" s="71" t="s">
        <v>60</v>
      </c>
      <c r="B265" s="1"/>
      <c r="C265" s="16">
        <f t="shared" si="20"/>
        <v>0</v>
      </c>
      <c r="D265" s="16">
        <f t="shared" si="20"/>
        <v>0</v>
      </c>
      <c r="E265" s="16">
        <f t="shared" si="20"/>
        <v>0</v>
      </c>
      <c r="F265" s="48">
        <f t="shared" si="20"/>
        <v>0</v>
      </c>
    </row>
    <row r="266" spans="1:6" ht="21">
      <c r="A266" s="71" t="s">
        <v>61</v>
      </c>
      <c r="B266" s="1"/>
      <c r="C266" s="16">
        <f t="shared" si="20"/>
        <v>0</v>
      </c>
      <c r="D266" s="16">
        <f t="shared" si="20"/>
        <v>0</v>
      </c>
      <c r="E266" s="16">
        <f t="shared" si="20"/>
        <v>0.22444027733213762</v>
      </c>
      <c r="F266" s="48">
        <f t="shared" si="20"/>
        <v>0</v>
      </c>
    </row>
    <row r="267" spans="1:6" ht="21">
      <c r="A267" s="72" t="s">
        <v>13</v>
      </c>
      <c r="B267" s="2"/>
      <c r="C267" s="20">
        <f t="shared" si="20"/>
        <v>1</v>
      </c>
      <c r="D267" s="20">
        <f t="shared" si="20"/>
        <v>1</v>
      </c>
      <c r="E267" s="20">
        <f t="shared" si="20"/>
        <v>1</v>
      </c>
      <c r="F267" s="52">
        <f t="shared" si="20"/>
        <v>1</v>
      </c>
    </row>
    <row r="268" spans="1:6" ht="21.75" thickBot="1">
      <c r="A268" s="79" t="s">
        <v>21</v>
      </c>
      <c r="B268" s="58"/>
      <c r="C268" s="59">
        <f>C248/C247</f>
        <v>-0.0006117342951008557</v>
      </c>
      <c r="D268" s="59">
        <f>D248/D247</f>
        <v>0.1604836365028804</v>
      </c>
      <c r="E268" s="59">
        <f>E248/E247</f>
        <v>0.9295733455768664</v>
      </c>
      <c r="F268" s="60">
        <f>F248/F247</f>
        <v>17.71967813014888</v>
      </c>
    </row>
    <row r="269" ht="21.75" thickTop="1">
      <c r="A269" s="80"/>
    </row>
    <row r="270" ht="21">
      <c r="A270" s="80"/>
    </row>
    <row r="271" ht="21">
      <c r="A271" s="80"/>
    </row>
    <row r="272" ht="21">
      <c r="A272" s="80"/>
    </row>
    <row r="273" ht="21">
      <c r="A273" s="80"/>
    </row>
    <row r="274" ht="21">
      <c r="A274" s="80"/>
    </row>
    <row r="275" ht="21">
      <c r="A275" s="80"/>
    </row>
    <row r="276" ht="21">
      <c r="A276" s="80"/>
    </row>
    <row r="277" ht="21">
      <c r="A277" s="80"/>
    </row>
    <row r="278" ht="21">
      <c r="A278" s="80"/>
    </row>
    <row r="279" ht="21">
      <c r="A279" s="80"/>
    </row>
    <row r="280" ht="21">
      <c r="A280" s="80"/>
    </row>
    <row r="281" ht="21">
      <c r="A281" s="80"/>
    </row>
    <row r="282" ht="21">
      <c r="A282" s="80"/>
    </row>
    <row r="283" ht="21">
      <c r="A283" s="80"/>
    </row>
    <row r="284" ht="21">
      <c r="A284" s="80"/>
    </row>
    <row r="285" ht="21">
      <c r="A285" s="80"/>
    </row>
    <row r="286" ht="21">
      <c r="A286" s="80"/>
    </row>
    <row r="287" ht="21">
      <c r="A287" s="80"/>
    </row>
    <row r="288" ht="21">
      <c r="A288" s="80"/>
    </row>
    <row r="289" ht="21">
      <c r="A289" s="80"/>
    </row>
    <row r="290" ht="21">
      <c r="A290" s="80"/>
    </row>
    <row r="291" ht="21">
      <c r="A291" s="80"/>
    </row>
    <row r="292" ht="21">
      <c r="A292" s="80"/>
    </row>
    <row r="293" ht="21">
      <c r="A293" s="80"/>
    </row>
    <row r="294" ht="21">
      <c r="A294" s="80"/>
    </row>
    <row r="295" ht="21">
      <c r="A295" s="80"/>
    </row>
    <row r="296" ht="21">
      <c r="A296" s="80"/>
    </row>
    <row r="297" ht="21">
      <c r="A297" s="80"/>
    </row>
    <row r="298" ht="21">
      <c r="A298" s="80"/>
    </row>
    <row r="299" ht="21">
      <c r="A299" s="80"/>
    </row>
    <row r="300" ht="21">
      <c r="A300" s="80"/>
    </row>
    <row r="301" ht="21">
      <c r="A301" s="80"/>
    </row>
    <row r="302" ht="21">
      <c r="A302" s="80"/>
    </row>
    <row r="303" ht="21">
      <c r="A303" s="80"/>
    </row>
    <row r="304" ht="21">
      <c r="A304" s="80"/>
    </row>
    <row r="305" ht="21">
      <c r="A305" s="80"/>
    </row>
    <row r="306" ht="21">
      <c r="A306" s="80"/>
    </row>
    <row r="307" ht="21">
      <c r="A307" s="80"/>
    </row>
    <row r="308" ht="21">
      <c r="A308" s="80"/>
    </row>
    <row r="309" ht="21">
      <c r="A309" s="80"/>
    </row>
    <row r="310" ht="21">
      <c r="A310" s="80"/>
    </row>
    <row r="311" ht="21">
      <c r="A311" s="80"/>
    </row>
    <row r="312" ht="21">
      <c r="A312" s="80"/>
    </row>
    <row r="313" ht="21">
      <c r="A313" s="80"/>
    </row>
    <row r="314" ht="21">
      <c r="A314" s="80"/>
    </row>
    <row r="315" ht="21">
      <c r="A315" s="80"/>
    </row>
    <row r="316" ht="21">
      <c r="A316" s="80"/>
    </row>
    <row r="317" ht="21">
      <c r="A317" s="80"/>
    </row>
    <row r="318" ht="21">
      <c r="A318" s="80"/>
    </row>
    <row r="319" ht="21">
      <c r="A319" s="80"/>
    </row>
    <row r="320" ht="21">
      <c r="A320" s="80"/>
    </row>
    <row r="321" ht="21">
      <c r="A321" s="80"/>
    </row>
    <row r="322" ht="21">
      <c r="A322" s="80"/>
    </row>
    <row r="323" ht="21">
      <c r="A323" s="80"/>
    </row>
    <row r="324" ht="21">
      <c r="A324" s="80"/>
    </row>
    <row r="325" ht="21">
      <c r="A325" s="80"/>
    </row>
    <row r="326" ht="21">
      <c r="A326" s="80"/>
    </row>
    <row r="327" ht="21">
      <c r="A327" s="80"/>
    </row>
  </sheetData>
  <mergeCells count="11">
    <mergeCell ref="A11:B11"/>
    <mergeCell ref="A2:F2"/>
    <mergeCell ref="A3:F3"/>
    <mergeCell ref="A4:F4"/>
    <mergeCell ref="A5:F5"/>
    <mergeCell ref="A6:F6"/>
    <mergeCell ref="A7:F7"/>
    <mergeCell ref="A10:F10"/>
    <mergeCell ref="A9:F9"/>
    <mergeCell ref="A8:F8"/>
    <mergeCell ref="A1:F1"/>
  </mergeCells>
  <conditionalFormatting sqref="C189:F189 C187:F187">
    <cfRule type="cellIs" priority="1" dxfId="0" operator="lessThan" stopIfTrue="1">
      <formula>0</formula>
    </cfRule>
  </conditionalFormatting>
  <conditionalFormatting sqref="C188:F188">
    <cfRule type="cellIs" priority="2" dxfId="1" operator="lessThan" stopIfTrue="1">
      <formula>0</formula>
    </cfRule>
  </conditionalFormatting>
  <printOptions gridLines="1" horizontalCentered="1" verticalCentered="1"/>
  <pageMargins left="0.5" right="0.5" top="0.75" bottom="0.6" header="0.35" footer="0.35"/>
  <pageSetup horizontalDpi="600" verticalDpi="600" orientation="portrait" paperSize="9" r:id="rId1"/>
  <headerFooter alignWithMargins="0">
    <oddHeader>&amp;L&amp;"B Kamran,Regular"&amp;14شركت سرمايه‌گذاري ساختمان و صنعت</oddHeader>
    <oddFooter>&amp;R&amp;"B Kamran,Regular"&amp;12صفحة &amp;P از &amp;N صفحه</oddFooter>
  </headerFooter>
</worksheet>
</file>

<file path=xl/worksheets/sheet6.xml><?xml version="1.0" encoding="utf-8"?>
<worksheet xmlns="http://schemas.openxmlformats.org/spreadsheetml/2006/main" xmlns:r="http://schemas.openxmlformats.org/officeDocument/2006/relationships">
  <sheetPr>
    <tabColor indexed="13"/>
  </sheetPr>
  <dimension ref="A1:K327"/>
  <sheetViews>
    <sheetView rightToLeft="1" tabSelected="1" workbookViewId="0" topLeftCell="A1">
      <pane ySplit="4230" topLeftCell="BM224" activePane="topLeft" state="split"/>
      <selection pane="topLeft" activeCell="A11" sqref="A11:B11"/>
      <selection pane="bottomLeft" activeCell="A11" sqref="A11:B11"/>
    </sheetView>
  </sheetViews>
  <sheetFormatPr defaultColWidth="9.140625" defaultRowHeight="12.75"/>
  <cols>
    <col min="1" max="1" width="42.00390625" style="67" customWidth="1"/>
    <col min="2" max="2" width="10.28125" style="23" bestFit="1" customWidth="1"/>
    <col min="3" max="3" width="10.7109375" style="13" customWidth="1"/>
    <col min="4" max="4" width="10.421875" style="13" customWidth="1"/>
    <col min="5" max="5" width="10.00390625" style="13" customWidth="1"/>
    <col min="6" max="6" width="10.8515625" style="13" customWidth="1"/>
    <col min="7" max="16384" width="9.140625" style="13" customWidth="1"/>
  </cols>
  <sheetData>
    <row r="1" spans="1:11" s="62" customFormat="1" ht="35.25" customHeight="1" thickBot="1" thickTop="1">
      <c r="A1" s="84" t="s">
        <v>117</v>
      </c>
      <c r="B1" s="85"/>
      <c r="C1" s="85"/>
      <c r="D1" s="85"/>
      <c r="E1" s="85"/>
      <c r="F1" s="86"/>
      <c r="G1" s="61"/>
      <c r="H1" s="61"/>
      <c r="I1" s="61"/>
      <c r="J1" s="61"/>
      <c r="K1" s="61"/>
    </row>
    <row r="2" spans="1:11" s="63" customFormat="1" ht="32.25" customHeight="1" thickTop="1">
      <c r="A2" s="89" t="s">
        <v>153</v>
      </c>
      <c r="B2" s="90"/>
      <c r="C2" s="90"/>
      <c r="D2" s="90"/>
      <c r="E2" s="90"/>
      <c r="F2" s="90"/>
      <c r="G2" s="61"/>
      <c r="H2" s="61"/>
      <c r="I2" s="61"/>
      <c r="J2" s="61"/>
      <c r="K2" s="61"/>
    </row>
    <row r="3" spans="1:11" s="63" customFormat="1" ht="47.25" customHeight="1">
      <c r="A3" s="83" t="s">
        <v>156</v>
      </c>
      <c r="B3" s="83"/>
      <c r="C3" s="83"/>
      <c r="D3" s="83"/>
      <c r="E3" s="83"/>
      <c r="F3" s="83"/>
      <c r="G3" s="61"/>
      <c r="H3" s="61"/>
      <c r="I3" s="61"/>
      <c r="J3" s="61"/>
      <c r="K3" s="61"/>
    </row>
    <row r="4" spans="1:11" s="63" customFormat="1" ht="22.5" customHeight="1">
      <c r="A4" s="83" t="s">
        <v>157</v>
      </c>
      <c r="B4" s="83"/>
      <c r="C4" s="83"/>
      <c r="D4" s="83"/>
      <c r="E4" s="83"/>
      <c r="F4" s="83"/>
      <c r="G4" s="61"/>
      <c r="H4" s="61"/>
      <c r="I4" s="61"/>
      <c r="J4" s="61"/>
      <c r="K4" s="61"/>
    </row>
    <row r="5" spans="1:11" s="63" customFormat="1" ht="48.75" customHeight="1">
      <c r="A5" s="83" t="s">
        <v>158</v>
      </c>
      <c r="B5" s="83"/>
      <c r="C5" s="83"/>
      <c r="D5" s="83"/>
      <c r="E5" s="83"/>
      <c r="F5" s="83"/>
      <c r="G5" s="61"/>
      <c r="H5" s="61"/>
      <c r="I5" s="61"/>
      <c r="J5" s="61"/>
      <c r="K5" s="61"/>
    </row>
    <row r="6" spans="1:11" s="63" customFormat="1" ht="21" customHeight="1">
      <c r="A6" s="83" t="s">
        <v>159</v>
      </c>
      <c r="B6" s="83"/>
      <c r="C6" s="83"/>
      <c r="D6" s="83"/>
      <c r="E6" s="83"/>
      <c r="F6" s="83"/>
      <c r="G6" s="61"/>
      <c r="H6" s="61"/>
      <c r="I6" s="61"/>
      <c r="J6" s="61"/>
      <c r="K6" s="61"/>
    </row>
    <row r="7" spans="1:11" s="63" customFormat="1" ht="22.5" customHeight="1">
      <c r="A7" s="83" t="s">
        <v>160</v>
      </c>
      <c r="B7" s="83"/>
      <c r="C7" s="83"/>
      <c r="D7" s="83"/>
      <c r="E7" s="83"/>
      <c r="F7" s="83"/>
      <c r="G7" s="61"/>
      <c r="H7" s="61"/>
      <c r="I7" s="61"/>
      <c r="J7" s="61"/>
      <c r="K7" s="61"/>
    </row>
    <row r="8" spans="1:11" s="63" customFormat="1" ht="22.5" customHeight="1">
      <c r="A8" s="83" t="s">
        <v>161</v>
      </c>
      <c r="B8" s="83"/>
      <c r="C8" s="83"/>
      <c r="D8" s="83"/>
      <c r="E8" s="83"/>
      <c r="F8" s="83"/>
      <c r="G8" s="61"/>
      <c r="H8" s="61"/>
      <c r="I8" s="61"/>
      <c r="J8" s="61"/>
      <c r="K8" s="61"/>
    </row>
    <row r="9" spans="1:11" s="63" customFormat="1" ht="22.5" customHeight="1">
      <c r="A9" s="83" t="s">
        <v>155</v>
      </c>
      <c r="B9" s="83"/>
      <c r="C9" s="83"/>
      <c r="D9" s="83"/>
      <c r="E9" s="83"/>
      <c r="F9" s="83"/>
      <c r="G9" s="61"/>
      <c r="H9" s="61"/>
      <c r="I9" s="61"/>
      <c r="J9" s="61"/>
      <c r="K9" s="61"/>
    </row>
    <row r="10" spans="1:11" s="63" customFormat="1" ht="137.25" customHeight="1" thickBot="1">
      <c r="A10" s="82" t="s">
        <v>154</v>
      </c>
      <c r="B10" s="82"/>
      <c r="C10" s="82"/>
      <c r="D10" s="82"/>
      <c r="E10" s="82"/>
      <c r="F10" s="82"/>
      <c r="G10" s="61"/>
      <c r="H10" s="61"/>
      <c r="I10" s="61"/>
      <c r="J10" s="61"/>
      <c r="K10" s="61"/>
    </row>
    <row r="11" spans="1:6" s="43" customFormat="1" ht="30" thickBot="1" thickTop="1">
      <c r="A11" s="87" t="s">
        <v>166</v>
      </c>
      <c r="B11" s="88"/>
      <c r="C11" s="68" t="s">
        <v>113</v>
      </c>
      <c r="D11" s="68" t="s">
        <v>114</v>
      </c>
      <c r="E11" s="68" t="s">
        <v>115</v>
      </c>
      <c r="F11" s="69" t="s">
        <v>116</v>
      </c>
    </row>
    <row r="12" spans="1:6" s="15" customFormat="1" ht="21.75" thickTop="1">
      <c r="A12" s="64" t="s">
        <v>1</v>
      </c>
      <c r="B12" s="26"/>
      <c r="C12" s="14"/>
      <c r="D12" s="14"/>
      <c r="E12" s="14"/>
      <c r="F12" s="47"/>
    </row>
    <row r="13" spans="1:6" s="17" customFormat="1" ht="21">
      <c r="A13" s="70" t="s">
        <v>2</v>
      </c>
      <c r="B13" s="16"/>
      <c r="C13" s="16">
        <v>0.16</v>
      </c>
      <c r="D13" s="16">
        <v>0.16</v>
      </c>
      <c r="E13" s="16">
        <v>0.16</v>
      </c>
      <c r="F13" s="48">
        <v>0.16</v>
      </c>
    </row>
    <row r="14" spans="1:6" s="17" customFormat="1" ht="21">
      <c r="A14" s="70" t="s">
        <v>90</v>
      </c>
      <c r="B14" s="16"/>
      <c r="C14" s="16">
        <v>0.22</v>
      </c>
      <c r="D14" s="16">
        <v>0.22</v>
      </c>
      <c r="E14" s="16">
        <v>0.22</v>
      </c>
      <c r="F14" s="48">
        <v>0.22</v>
      </c>
    </row>
    <row r="15" spans="1:6" s="4" customFormat="1" ht="21">
      <c r="A15" s="71" t="s">
        <v>68</v>
      </c>
      <c r="B15" s="1">
        <v>45000</v>
      </c>
      <c r="D15" s="1" t="s">
        <v>0</v>
      </c>
      <c r="E15" s="1" t="s">
        <v>0</v>
      </c>
      <c r="F15" s="49" t="s">
        <v>0</v>
      </c>
    </row>
    <row r="16" spans="1:6" s="4" customFormat="1" ht="21">
      <c r="A16" s="71" t="s">
        <v>67</v>
      </c>
      <c r="B16" s="1">
        <v>54000</v>
      </c>
      <c r="C16" s="1"/>
      <c r="D16" s="1"/>
      <c r="E16" s="1"/>
      <c r="F16" s="49"/>
    </row>
    <row r="17" spans="1:6" s="4" customFormat="1" ht="21">
      <c r="A17" s="71" t="s">
        <v>66</v>
      </c>
      <c r="B17" s="1">
        <v>106000</v>
      </c>
      <c r="C17" s="1"/>
      <c r="D17" s="1"/>
      <c r="E17" s="1"/>
      <c r="F17" s="49"/>
    </row>
    <row r="18" spans="1:6" s="4" customFormat="1" ht="21">
      <c r="A18" s="71" t="s">
        <v>69</v>
      </c>
      <c r="B18" s="1">
        <f>B16+B17</f>
        <v>160000</v>
      </c>
      <c r="C18" s="1"/>
      <c r="D18" s="1"/>
      <c r="E18" s="1"/>
      <c r="F18" s="49"/>
    </row>
    <row r="19" spans="1:6" s="4" customFormat="1" ht="21">
      <c r="A19" s="71" t="s">
        <v>124</v>
      </c>
      <c r="B19" s="24">
        <v>29.33989727901537</v>
      </c>
      <c r="C19" s="1"/>
      <c r="D19" s="1"/>
      <c r="E19" s="1"/>
      <c r="F19" s="49"/>
    </row>
    <row r="20" spans="1:6" s="4" customFormat="1" ht="21">
      <c r="A20" s="71" t="s">
        <v>70</v>
      </c>
      <c r="B20" s="1">
        <f>B19*B15</f>
        <v>1320295.3775556916</v>
      </c>
      <c r="C20" s="1"/>
      <c r="D20" s="1"/>
      <c r="E20" s="1"/>
      <c r="F20" s="49"/>
    </row>
    <row r="21" spans="1:6" s="4" customFormat="1" ht="21">
      <c r="A21" s="71" t="s">
        <v>99</v>
      </c>
      <c r="B21" s="1">
        <f>SUM(C21:F21)</f>
        <v>0</v>
      </c>
      <c r="C21" s="1">
        <v>0</v>
      </c>
      <c r="D21" s="1">
        <v>0</v>
      </c>
      <c r="E21" s="1">
        <v>0</v>
      </c>
      <c r="F21" s="49">
        <v>0</v>
      </c>
    </row>
    <row r="22" spans="1:6" s="4" customFormat="1" ht="21">
      <c r="A22" s="71" t="s">
        <v>104</v>
      </c>
      <c r="B22" s="1">
        <f>SUM(C22:F22)</f>
        <v>0</v>
      </c>
      <c r="C22" s="1">
        <v>0</v>
      </c>
      <c r="D22" s="1">
        <v>0</v>
      </c>
      <c r="E22" s="1">
        <v>0</v>
      </c>
      <c r="F22" s="49">
        <v>0</v>
      </c>
    </row>
    <row r="23" spans="1:6" s="4" customFormat="1" ht="21">
      <c r="A23" s="71"/>
      <c r="B23" s="1"/>
      <c r="C23" s="1"/>
      <c r="D23" s="1"/>
      <c r="E23" s="1"/>
      <c r="F23" s="49"/>
    </row>
    <row r="24" spans="1:6" s="19" customFormat="1" ht="21">
      <c r="A24" s="71" t="s">
        <v>92</v>
      </c>
      <c r="B24" s="20">
        <f>SUM(C24:F24)</f>
        <v>1</v>
      </c>
      <c r="C24" s="16">
        <v>0.18</v>
      </c>
      <c r="D24" s="41">
        <v>0.2</v>
      </c>
      <c r="E24" s="41">
        <v>0.22</v>
      </c>
      <c r="F24" s="48">
        <v>0.4</v>
      </c>
    </row>
    <row r="25" spans="1:6" s="19" customFormat="1" ht="21">
      <c r="A25" s="71" t="s">
        <v>141</v>
      </c>
      <c r="B25" s="20">
        <f>SUM(C25:F25)</f>
        <v>1.0000000000000002</v>
      </c>
      <c r="C25" s="16">
        <f>C170</f>
        <v>0.7214585788038906</v>
      </c>
      <c r="D25" s="16">
        <f>D170</f>
        <v>0.13934189024215402</v>
      </c>
      <c r="E25" s="16">
        <f>E170</f>
        <v>0.10796714103005053</v>
      </c>
      <c r="F25" s="48">
        <f>F170</f>
        <v>0.031232389923904893</v>
      </c>
    </row>
    <row r="26" spans="1:6" s="4" customFormat="1" ht="21">
      <c r="A26" s="71" t="s">
        <v>151</v>
      </c>
      <c r="B26" s="24">
        <v>8.7</v>
      </c>
      <c r="C26" s="24">
        <f>(1+C13)*B26</f>
        <v>10.091999999999999</v>
      </c>
      <c r="D26" s="24">
        <f>(1+D13)*C26</f>
        <v>11.706719999999997</v>
      </c>
      <c r="E26" s="24">
        <f>(1+E13)*D26</f>
        <v>13.579795199999996</v>
      </c>
      <c r="F26" s="50">
        <f>(1+F13)*E26</f>
        <v>15.752562431999994</v>
      </c>
    </row>
    <row r="27" spans="1:6" s="4" customFormat="1" ht="21">
      <c r="A27" s="71" t="s">
        <v>143</v>
      </c>
      <c r="B27" s="2">
        <f>SUM(C27:F27)</f>
        <v>160000</v>
      </c>
      <c r="C27" s="1">
        <f>C24*$B$18</f>
        <v>28800</v>
      </c>
      <c r="D27" s="1">
        <f>D24*$B$18</f>
        <v>32000</v>
      </c>
      <c r="E27" s="1">
        <f>E24*$B$18</f>
        <v>35200</v>
      </c>
      <c r="F27" s="49">
        <f>F24*$B$18</f>
        <v>64000</v>
      </c>
    </row>
    <row r="28" spans="1:6" s="4" customFormat="1" ht="21">
      <c r="A28" s="71" t="s">
        <v>144</v>
      </c>
      <c r="B28" s="2">
        <f>SUM(C28:F28)</f>
        <v>2151437.426687999</v>
      </c>
      <c r="C28" s="1">
        <f>C27*C26</f>
        <v>290649.6</v>
      </c>
      <c r="D28" s="1">
        <f>D27*D26</f>
        <v>374615.0399999999</v>
      </c>
      <c r="E28" s="1">
        <f>E27*E26</f>
        <v>478008.79103999987</v>
      </c>
      <c r="F28" s="49">
        <f>F27*F26</f>
        <v>1008163.9956479996</v>
      </c>
    </row>
    <row r="29" spans="1:6" s="4" customFormat="1" ht="21">
      <c r="A29" s="71"/>
      <c r="B29" s="2"/>
      <c r="C29" s="1"/>
      <c r="D29" s="1"/>
      <c r="E29" s="1"/>
      <c r="F29" s="49"/>
    </row>
    <row r="30" spans="1:6" s="4" customFormat="1" ht="21">
      <c r="A30" s="64" t="s">
        <v>148</v>
      </c>
      <c r="B30" s="2"/>
      <c r="C30" s="1"/>
      <c r="D30" s="1"/>
      <c r="E30" s="1"/>
      <c r="F30" s="49"/>
    </row>
    <row r="31" spans="1:6" s="19" customFormat="1" ht="21">
      <c r="A31" s="71" t="s">
        <v>142</v>
      </c>
      <c r="B31" s="2">
        <f>SUM(C31:F31)</f>
        <v>290649.6</v>
      </c>
      <c r="C31" s="1">
        <f>$C$28*C25</f>
        <v>209691.64734591928</v>
      </c>
      <c r="D31" s="1">
        <f>$C$28*D25</f>
        <v>40499.664662125964</v>
      </c>
      <c r="E31" s="1">
        <f>$C$28*E25</f>
        <v>31380.60635352777</v>
      </c>
      <c r="F31" s="49">
        <f>$C$28*F25</f>
        <v>9077.681638426986</v>
      </c>
    </row>
    <row r="32" spans="1:6" s="19" customFormat="1" ht="21">
      <c r="A32" s="71" t="s">
        <v>145</v>
      </c>
      <c r="B32" s="2">
        <f>SUM(C32:F32)</f>
        <v>374615.04</v>
      </c>
      <c r="C32" s="1">
        <v>0</v>
      </c>
      <c r="D32" s="1">
        <f>$D$28*(D25+C25)</f>
        <v>322468.80214370275</v>
      </c>
      <c r="E32" s="1">
        <f>$D$28*E25</f>
        <v>40446.114855658016</v>
      </c>
      <c r="F32" s="49">
        <f>$D$28*F25</f>
        <v>11700.123000639225</v>
      </c>
    </row>
    <row r="33" spans="1:6" s="19" customFormat="1" ht="21">
      <c r="A33" s="71" t="s">
        <v>146</v>
      </c>
      <c r="B33" s="2">
        <f>SUM(C33:F33)</f>
        <v>478008.79103999987</v>
      </c>
      <c r="C33" s="1">
        <v>0</v>
      </c>
      <c r="D33" s="1">
        <v>0</v>
      </c>
      <c r="E33" s="1">
        <f>$E$28*(E25+D25+C25)</f>
        <v>463079.43409118423</v>
      </c>
      <c r="F33" s="49">
        <f>$E$28*F25</f>
        <v>14929.356948815652</v>
      </c>
    </row>
    <row r="34" spans="1:6" s="19" customFormat="1" ht="21">
      <c r="A34" s="71" t="s">
        <v>147</v>
      </c>
      <c r="B34" s="2">
        <f>SUM(C34:F34)</f>
        <v>1008163.9956479996</v>
      </c>
      <c r="C34" s="1">
        <v>0</v>
      </c>
      <c r="D34" s="1">
        <v>0</v>
      </c>
      <c r="E34" s="1"/>
      <c r="F34" s="49">
        <f>$F$28*(F25+E25+D25+C25)</f>
        <v>1008163.9956479996</v>
      </c>
    </row>
    <row r="35" spans="1:6" s="19" customFormat="1" ht="21">
      <c r="A35" s="71"/>
      <c r="B35" s="2">
        <f>SUM(C35:F35)</f>
        <v>2151437.426687999</v>
      </c>
      <c r="C35" s="2">
        <f>SUM(C31:C34)</f>
        <v>209691.64734591928</v>
      </c>
      <c r="D35" s="2">
        <f>SUM(D31:D34)</f>
        <v>362968.46680582874</v>
      </c>
      <c r="E35" s="2">
        <f>SUM(E31:E34)</f>
        <v>534906.15530037</v>
      </c>
      <c r="F35" s="51">
        <f>SUM(F31:F34)</f>
        <v>1043871.1572358814</v>
      </c>
    </row>
    <row r="36" spans="1:6" s="19" customFormat="1" ht="21">
      <c r="A36" s="71"/>
      <c r="B36" s="2"/>
      <c r="C36" s="2"/>
      <c r="D36" s="2"/>
      <c r="E36" s="2"/>
      <c r="F36" s="51"/>
    </row>
    <row r="37" spans="1:6" s="4" customFormat="1" ht="21">
      <c r="A37" s="64" t="s">
        <v>149</v>
      </c>
      <c r="B37" s="2"/>
      <c r="C37" s="1"/>
      <c r="D37" s="1"/>
      <c r="E37" s="1"/>
      <c r="F37" s="49"/>
    </row>
    <row r="38" spans="1:6" s="19" customFormat="1" ht="21">
      <c r="A38" s="71" t="s">
        <v>142</v>
      </c>
      <c r="B38" s="20">
        <f>SUM(C38:F38)</f>
        <v>0.13509553956558085</v>
      </c>
      <c r="C38" s="16">
        <f aca="true" t="shared" si="0" ref="C38:F42">C31/$B$35</f>
        <v>0.09746583597772872</v>
      </c>
      <c r="D38" s="16">
        <f t="shared" si="0"/>
        <v>0.018824467846351736</v>
      </c>
      <c r="E38" s="16">
        <f t="shared" si="0"/>
        <v>0.014585879172807835</v>
      </c>
      <c r="F38" s="48">
        <f t="shared" si="0"/>
        <v>0.004219356568692541</v>
      </c>
    </row>
    <row r="39" spans="1:6" s="19" customFormat="1" ht="21">
      <c r="A39" s="71" t="s">
        <v>145</v>
      </c>
      <c r="B39" s="20">
        <f>SUM(C39:F39)</f>
        <v>0.1741231398845264</v>
      </c>
      <c r="C39" s="16">
        <f t="shared" si="0"/>
        <v>0</v>
      </c>
      <c r="D39" s="16">
        <f t="shared" si="0"/>
        <v>0.14988528048437036</v>
      </c>
      <c r="E39" s="16">
        <f t="shared" si="0"/>
        <v>0.018799577600507877</v>
      </c>
      <c r="F39" s="48">
        <f t="shared" si="0"/>
        <v>0.005438281799648163</v>
      </c>
    </row>
    <row r="40" spans="1:6" s="19" customFormat="1" ht="21">
      <c r="A40" s="71" t="s">
        <v>146</v>
      </c>
      <c r="B40" s="20">
        <f>SUM(C40:F40)</f>
        <v>0.22218112649265565</v>
      </c>
      <c r="C40" s="16">
        <f t="shared" si="0"/>
        <v>0</v>
      </c>
      <c r="D40" s="16">
        <f t="shared" si="0"/>
        <v>0</v>
      </c>
      <c r="E40" s="16">
        <f t="shared" si="0"/>
        <v>0.21524187891630459</v>
      </c>
      <c r="F40" s="48">
        <f t="shared" si="0"/>
        <v>0.006939247576351056</v>
      </c>
    </row>
    <row r="41" spans="1:6" s="19" customFormat="1" ht="21">
      <c r="A41" s="71" t="s">
        <v>147</v>
      </c>
      <c r="B41" s="20">
        <f>SUM(C41:F41)</f>
        <v>0.46860019405723724</v>
      </c>
      <c r="C41" s="16">
        <f t="shared" si="0"/>
        <v>0</v>
      </c>
      <c r="D41" s="16">
        <f t="shared" si="0"/>
        <v>0</v>
      </c>
      <c r="E41" s="16">
        <f t="shared" si="0"/>
        <v>0</v>
      </c>
      <c r="F41" s="48">
        <f t="shared" si="0"/>
        <v>0.46860019405723724</v>
      </c>
    </row>
    <row r="42" spans="1:6" s="19" customFormat="1" ht="21">
      <c r="A42" s="72"/>
      <c r="B42" s="20">
        <f>SUM(C42:F42)</f>
        <v>1</v>
      </c>
      <c r="C42" s="20">
        <f t="shared" si="0"/>
        <v>0.09746583597772872</v>
      </c>
      <c r="D42" s="20">
        <f t="shared" si="0"/>
        <v>0.1687097483307221</v>
      </c>
      <c r="E42" s="20">
        <f t="shared" si="0"/>
        <v>0.24862733568962025</v>
      </c>
      <c r="F42" s="52">
        <f t="shared" si="0"/>
        <v>0.485197080001929</v>
      </c>
    </row>
    <row r="43" spans="1:6" s="4" customFormat="1" ht="21">
      <c r="A43" s="64" t="s">
        <v>150</v>
      </c>
      <c r="B43" s="2"/>
      <c r="C43" s="1"/>
      <c r="D43" s="1"/>
      <c r="E43" s="1"/>
      <c r="F43" s="49"/>
    </row>
    <row r="44" spans="1:6" s="19" customFormat="1" ht="21">
      <c r="A44" s="71" t="s">
        <v>142</v>
      </c>
      <c r="B44" s="20">
        <f>SUM(C44:F44)</f>
        <v>1.0000000000000002</v>
      </c>
      <c r="C44" s="16">
        <f aca="true" t="shared" si="1" ref="C44:F47">C31/$B31</f>
        <v>0.7214585788038906</v>
      </c>
      <c r="D44" s="16">
        <f t="shared" si="1"/>
        <v>0.13934189024215402</v>
      </c>
      <c r="E44" s="16">
        <f t="shared" si="1"/>
        <v>0.10796714103005053</v>
      </c>
      <c r="F44" s="48">
        <f t="shared" si="1"/>
        <v>0.03123238992390489</v>
      </c>
    </row>
    <row r="45" spans="1:6" s="19" customFormat="1" ht="21">
      <c r="A45" s="71" t="s">
        <v>145</v>
      </c>
      <c r="B45" s="20">
        <f>SUM(C45:F45)</f>
        <v>1</v>
      </c>
      <c r="C45" s="16">
        <f t="shared" si="1"/>
        <v>0</v>
      </c>
      <c r="D45" s="16">
        <f t="shared" si="1"/>
        <v>0.8608004690460446</v>
      </c>
      <c r="E45" s="16">
        <f t="shared" si="1"/>
        <v>0.10796714103005052</v>
      </c>
      <c r="F45" s="48">
        <f t="shared" si="1"/>
        <v>0.031232389923904886</v>
      </c>
    </row>
    <row r="46" spans="1:6" s="19" customFormat="1" ht="21">
      <c r="A46" s="71" t="s">
        <v>146</v>
      </c>
      <c r="B46" s="20">
        <f>SUM(C46:F46)</f>
        <v>1</v>
      </c>
      <c r="C46" s="16">
        <f t="shared" si="1"/>
        <v>0</v>
      </c>
      <c r="D46" s="16">
        <f t="shared" si="1"/>
        <v>0</v>
      </c>
      <c r="E46" s="16">
        <f t="shared" si="1"/>
        <v>0.9687676100760951</v>
      </c>
      <c r="F46" s="48">
        <f t="shared" si="1"/>
        <v>0.031232389923904893</v>
      </c>
    </row>
    <row r="47" spans="1:6" s="19" customFormat="1" ht="21">
      <c r="A47" s="71" t="s">
        <v>147</v>
      </c>
      <c r="B47" s="20">
        <f>SUM(C47:F47)</f>
        <v>1</v>
      </c>
      <c r="C47" s="16">
        <f t="shared" si="1"/>
        <v>0</v>
      </c>
      <c r="D47" s="16">
        <f t="shared" si="1"/>
        <v>0</v>
      </c>
      <c r="E47" s="16">
        <f t="shared" si="1"/>
        <v>0</v>
      </c>
      <c r="F47" s="48">
        <f t="shared" si="1"/>
        <v>1</v>
      </c>
    </row>
    <row r="48" spans="1:6" s="19" customFormat="1" ht="21">
      <c r="A48" s="72" t="s">
        <v>27</v>
      </c>
      <c r="B48" s="20">
        <f>SUM(C48:F48)</f>
        <v>2.1780795864401103E-07</v>
      </c>
      <c r="C48" s="20">
        <f>C41/$B$35</f>
        <v>0</v>
      </c>
      <c r="D48" s="20">
        <f>D41/$B$35</f>
        <v>0</v>
      </c>
      <c r="E48" s="20">
        <f>E41/$B$35</f>
        <v>0</v>
      </c>
      <c r="F48" s="52">
        <f>F41/$B$35</f>
        <v>2.1780795864401103E-07</v>
      </c>
    </row>
    <row r="49" spans="1:6" s="19" customFormat="1" ht="21">
      <c r="A49" s="72"/>
      <c r="B49" s="20"/>
      <c r="C49" s="20"/>
      <c r="D49" s="20"/>
      <c r="E49" s="20"/>
      <c r="F49" s="52"/>
    </row>
    <row r="50" spans="1:6" s="18" customFormat="1" ht="21">
      <c r="A50" s="65" t="s">
        <v>109</v>
      </c>
      <c r="B50" s="1"/>
      <c r="C50" s="20"/>
      <c r="D50" s="20"/>
      <c r="E50" s="20"/>
      <c r="F50" s="52"/>
    </row>
    <row r="51" spans="1:6" s="4" customFormat="1" ht="21">
      <c r="A51" s="71" t="s">
        <v>140</v>
      </c>
      <c r="B51" s="24">
        <f>B125/B18</f>
        <v>5.2232486264</v>
      </c>
      <c r="C51" s="1"/>
      <c r="D51" s="1"/>
      <c r="E51" s="1"/>
      <c r="F51" s="49"/>
    </row>
    <row r="52" spans="1:6" s="4" customFormat="1" ht="21">
      <c r="A52" s="71" t="s">
        <v>105</v>
      </c>
      <c r="B52" s="24">
        <f>B20/B18</f>
        <v>8.251846109723072</v>
      </c>
      <c r="C52" s="1"/>
      <c r="D52" s="1"/>
      <c r="E52" s="1"/>
      <c r="F52" s="49"/>
    </row>
    <row r="53" spans="1:6" s="4" customFormat="1" ht="42">
      <c r="A53" s="73" t="s">
        <v>107</v>
      </c>
      <c r="B53" s="24">
        <f>(B160+B161+B159)/B18</f>
        <v>0.365627403848</v>
      </c>
      <c r="C53" s="1"/>
      <c r="D53" s="1"/>
      <c r="E53" s="1"/>
      <c r="F53" s="49"/>
    </row>
    <row r="54" spans="1:6" s="4" customFormat="1" ht="21">
      <c r="A54" s="73" t="s">
        <v>126</v>
      </c>
      <c r="B54" s="24">
        <f>B199/B18</f>
        <v>0</v>
      </c>
      <c r="C54" s="1"/>
      <c r="D54" s="1"/>
      <c r="E54" s="1"/>
      <c r="F54" s="49"/>
    </row>
    <row r="55" spans="1:6" s="18" customFormat="1" ht="21">
      <c r="A55" s="74" t="s">
        <v>108</v>
      </c>
      <c r="B55" s="46">
        <f>B51+B52+B53+B54</f>
        <v>13.840722139971072</v>
      </c>
      <c r="C55" s="2"/>
      <c r="D55" s="2"/>
      <c r="E55" s="2"/>
      <c r="F55" s="51"/>
    </row>
    <row r="56" spans="1:6" s="4" customFormat="1" ht="21">
      <c r="A56" s="71"/>
      <c r="B56" s="1"/>
      <c r="C56" s="1"/>
      <c r="D56" s="1"/>
      <c r="E56" s="1"/>
      <c r="F56" s="49"/>
    </row>
    <row r="57" spans="1:6" s="4" customFormat="1" ht="21">
      <c r="A57" s="71" t="s">
        <v>106</v>
      </c>
      <c r="B57" s="24">
        <f>B173/B18</f>
        <v>13.446483916799995</v>
      </c>
      <c r="C57" s="1"/>
      <c r="D57" s="1"/>
      <c r="E57" s="1"/>
      <c r="F57" s="49"/>
    </row>
    <row r="58" spans="1:6" s="4" customFormat="1" ht="21">
      <c r="A58" s="71" t="s">
        <v>132</v>
      </c>
      <c r="B58" s="24">
        <f>B57-B55</f>
        <v>-0.3942382231710777</v>
      </c>
      <c r="C58" s="1"/>
      <c r="D58" s="1"/>
      <c r="E58" s="1"/>
      <c r="F58" s="49"/>
    </row>
    <row r="59" spans="1:6" s="4" customFormat="1" ht="21">
      <c r="A59" s="71" t="s">
        <v>133</v>
      </c>
      <c r="B59" s="16">
        <f>B58/B55</f>
        <v>-0.028483934521923843</v>
      </c>
      <c r="C59" s="1"/>
      <c r="D59" s="1"/>
      <c r="E59" s="1"/>
      <c r="F59" s="49"/>
    </row>
    <row r="60" spans="1:6" s="4" customFormat="1" ht="21">
      <c r="A60" s="71"/>
      <c r="B60" s="1"/>
      <c r="C60" s="1"/>
      <c r="D60" s="1"/>
      <c r="E60" s="1"/>
      <c r="F60" s="49"/>
    </row>
    <row r="61" spans="1:6" s="4" customFormat="1" ht="21">
      <c r="A61" s="65" t="s">
        <v>134</v>
      </c>
      <c r="B61" s="3" t="s">
        <v>27</v>
      </c>
      <c r="C61" s="2"/>
      <c r="D61" s="2"/>
      <c r="E61" s="2"/>
      <c r="F61" s="51"/>
    </row>
    <row r="62" spans="1:6" s="4" customFormat="1" ht="21">
      <c r="A62" s="71" t="s">
        <v>129</v>
      </c>
      <c r="B62" s="2">
        <f aca="true" t="shared" si="2" ref="B62:B81">SUM(C62:F62)</f>
        <v>2600</v>
      </c>
      <c r="C62" s="1">
        <v>2600</v>
      </c>
      <c r="D62" s="1">
        <v>0</v>
      </c>
      <c r="E62" s="1">
        <v>0</v>
      </c>
      <c r="F62" s="49">
        <v>0</v>
      </c>
    </row>
    <row r="63" spans="1:6" s="4" customFormat="1" ht="21">
      <c r="A63" s="71" t="s">
        <v>71</v>
      </c>
      <c r="B63" s="2">
        <f t="shared" si="2"/>
        <v>16000</v>
      </c>
      <c r="C63" s="1">
        <v>16000</v>
      </c>
      <c r="D63" s="1">
        <v>0</v>
      </c>
      <c r="E63" s="1">
        <v>0</v>
      </c>
      <c r="F63" s="49">
        <v>0</v>
      </c>
    </row>
    <row r="64" spans="1:6" s="4" customFormat="1" ht="21">
      <c r="A64" s="71" t="s">
        <v>72</v>
      </c>
      <c r="B64" s="2">
        <f t="shared" si="2"/>
        <v>108000</v>
      </c>
      <c r="C64" s="1">
        <v>99600</v>
      </c>
      <c r="D64" s="1">
        <v>8400</v>
      </c>
      <c r="E64" s="1">
        <v>0</v>
      </c>
      <c r="F64" s="49">
        <v>0</v>
      </c>
    </row>
    <row r="65" spans="1:6" s="4" customFormat="1" ht="21">
      <c r="A65" s="71" t="s">
        <v>73</v>
      </c>
      <c r="B65" s="2">
        <f t="shared" si="2"/>
        <v>30000</v>
      </c>
      <c r="C65" s="1">
        <v>22500</v>
      </c>
      <c r="D65" s="1">
        <v>7500</v>
      </c>
      <c r="E65" s="1">
        <v>0</v>
      </c>
      <c r="F65" s="49">
        <v>0</v>
      </c>
    </row>
    <row r="66" spans="1:6" s="4" customFormat="1" ht="21">
      <c r="A66" s="71" t="s">
        <v>74</v>
      </c>
      <c r="B66" s="2">
        <f t="shared" si="2"/>
        <v>7600</v>
      </c>
      <c r="C66" s="1">
        <v>4750</v>
      </c>
      <c r="D66" s="1">
        <v>2850</v>
      </c>
      <c r="E66" s="1">
        <v>0</v>
      </c>
      <c r="F66" s="49">
        <v>0</v>
      </c>
    </row>
    <row r="67" spans="1:6" s="4" customFormat="1" ht="21">
      <c r="A67" s="71" t="s">
        <v>76</v>
      </c>
      <c r="B67" s="2">
        <f t="shared" si="2"/>
        <v>41000</v>
      </c>
      <c r="C67" s="1">
        <v>20500</v>
      </c>
      <c r="D67" s="1">
        <v>20500</v>
      </c>
      <c r="E67" s="1">
        <v>0</v>
      </c>
      <c r="F67" s="49">
        <v>0</v>
      </c>
    </row>
    <row r="68" spans="1:6" s="4" customFormat="1" ht="21">
      <c r="A68" s="71" t="s">
        <v>75</v>
      </c>
      <c r="B68" s="2">
        <f t="shared" si="2"/>
        <v>42000</v>
      </c>
      <c r="C68" s="1">
        <v>8400</v>
      </c>
      <c r="D68" s="1">
        <v>31500</v>
      </c>
      <c r="E68" s="1">
        <v>2100</v>
      </c>
      <c r="F68" s="49">
        <v>0</v>
      </c>
    </row>
    <row r="69" spans="1:6" s="4" customFormat="1" ht="21">
      <c r="A69" s="71" t="s">
        <v>77</v>
      </c>
      <c r="B69" s="2">
        <f t="shared" si="2"/>
        <v>50000</v>
      </c>
      <c r="C69" s="1">
        <v>0</v>
      </c>
      <c r="D69" s="1">
        <v>39600</v>
      </c>
      <c r="E69" s="1">
        <v>10400</v>
      </c>
      <c r="F69" s="49">
        <v>0</v>
      </c>
    </row>
    <row r="70" spans="1:6" s="4" customFormat="1" ht="21">
      <c r="A70" s="71" t="s">
        <v>78</v>
      </c>
      <c r="B70" s="2">
        <f t="shared" si="2"/>
        <v>11000</v>
      </c>
      <c r="C70" s="1">
        <v>0</v>
      </c>
      <c r="D70" s="1">
        <v>4900</v>
      </c>
      <c r="E70" s="1">
        <v>6100</v>
      </c>
      <c r="F70" s="49">
        <v>0</v>
      </c>
    </row>
    <row r="71" spans="1:6" s="4" customFormat="1" ht="21">
      <c r="A71" s="71" t="s">
        <v>79</v>
      </c>
      <c r="B71" s="2">
        <f t="shared" si="2"/>
        <v>5000</v>
      </c>
      <c r="C71" s="1">
        <v>0</v>
      </c>
      <c r="D71" s="1">
        <v>0</v>
      </c>
      <c r="E71" s="1">
        <v>3300</v>
      </c>
      <c r="F71" s="49">
        <v>1700</v>
      </c>
    </row>
    <row r="72" spans="1:6" s="4" customFormat="1" ht="21">
      <c r="A72" s="71" t="s">
        <v>89</v>
      </c>
      <c r="B72" s="2">
        <f t="shared" si="2"/>
        <v>53000</v>
      </c>
      <c r="C72" s="1">
        <v>10600</v>
      </c>
      <c r="D72" s="1">
        <v>19600</v>
      </c>
      <c r="E72" s="1">
        <v>22800</v>
      </c>
      <c r="F72" s="49">
        <v>0</v>
      </c>
    </row>
    <row r="73" spans="1:6" s="4" customFormat="1" ht="21">
      <c r="A73" s="71" t="s">
        <v>80</v>
      </c>
      <c r="B73" s="2">
        <f t="shared" si="2"/>
        <v>18000</v>
      </c>
      <c r="C73" s="1">
        <v>0</v>
      </c>
      <c r="D73" s="1">
        <v>0</v>
      </c>
      <c r="E73" s="1">
        <v>13500</v>
      </c>
      <c r="F73" s="49">
        <v>4500</v>
      </c>
    </row>
    <row r="74" spans="1:6" s="4" customFormat="1" ht="21">
      <c r="A74" s="71" t="s">
        <v>81</v>
      </c>
      <c r="B74" s="2">
        <f t="shared" si="2"/>
        <v>13000</v>
      </c>
      <c r="C74" s="1">
        <v>0</v>
      </c>
      <c r="D74" s="1">
        <v>3250</v>
      </c>
      <c r="E74" s="1">
        <v>9750</v>
      </c>
      <c r="F74" s="49">
        <v>0</v>
      </c>
    </row>
    <row r="75" spans="1:6" s="4" customFormat="1" ht="21">
      <c r="A75" s="71" t="s">
        <v>82</v>
      </c>
      <c r="B75" s="2">
        <f t="shared" si="2"/>
        <v>35000</v>
      </c>
      <c r="C75" s="1">
        <v>0</v>
      </c>
      <c r="D75" s="1">
        <v>8750</v>
      </c>
      <c r="E75" s="1">
        <v>21000</v>
      </c>
      <c r="F75" s="49">
        <v>5250</v>
      </c>
    </row>
    <row r="76" spans="1:6" s="4" customFormat="1" ht="21">
      <c r="A76" s="71" t="s">
        <v>83</v>
      </c>
      <c r="B76" s="2">
        <f t="shared" si="2"/>
        <v>76000</v>
      </c>
      <c r="C76" s="1">
        <v>0</v>
      </c>
      <c r="D76" s="1">
        <v>30400</v>
      </c>
      <c r="E76" s="1">
        <v>28500</v>
      </c>
      <c r="F76" s="49">
        <v>17100</v>
      </c>
    </row>
    <row r="77" spans="1:6" s="4" customFormat="1" ht="21">
      <c r="A77" s="71" t="s">
        <v>84</v>
      </c>
      <c r="B77" s="2">
        <f t="shared" si="2"/>
        <v>10000</v>
      </c>
      <c r="C77" s="1">
        <v>2850</v>
      </c>
      <c r="D77" s="1">
        <v>2850</v>
      </c>
      <c r="E77" s="1">
        <v>2850</v>
      </c>
      <c r="F77" s="49">
        <v>1450</v>
      </c>
    </row>
    <row r="78" spans="1:6" s="4" customFormat="1" ht="21">
      <c r="A78" s="72" t="s">
        <v>110</v>
      </c>
      <c r="B78" s="2">
        <f t="shared" si="2"/>
        <v>518200</v>
      </c>
      <c r="C78" s="2">
        <f>SUM(C62:C77)</f>
        <v>187800</v>
      </c>
      <c r="D78" s="2">
        <f>SUM(D62:D77)</f>
        <v>180100</v>
      </c>
      <c r="E78" s="2">
        <f>SUM(E62:E77)</f>
        <v>120300</v>
      </c>
      <c r="F78" s="51">
        <f>SUM(F62:F77)</f>
        <v>30000</v>
      </c>
    </row>
    <row r="79" spans="1:6" s="4" customFormat="1" ht="21">
      <c r="A79" s="71" t="s">
        <v>85</v>
      </c>
      <c r="B79" s="2">
        <f t="shared" si="2"/>
        <v>20728</v>
      </c>
      <c r="C79" s="1">
        <f>0.04*C78</f>
        <v>7512</v>
      </c>
      <c r="D79" s="1">
        <f>0.04*D78</f>
        <v>7204</v>
      </c>
      <c r="E79" s="1">
        <f>0.04*E78</f>
        <v>4812</v>
      </c>
      <c r="F79" s="49">
        <f>0.04*F78</f>
        <v>1200</v>
      </c>
    </row>
    <row r="80" spans="1:6" s="4" customFormat="1" ht="21">
      <c r="A80" s="71" t="s">
        <v>86</v>
      </c>
      <c r="B80" s="2">
        <f t="shared" si="2"/>
        <v>77730</v>
      </c>
      <c r="C80" s="1">
        <f>0.15*C78</f>
        <v>28170</v>
      </c>
      <c r="D80" s="1">
        <f>0.15*D78</f>
        <v>27015</v>
      </c>
      <c r="E80" s="1">
        <f>0.15*E78</f>
        <v>18045</v>
      </c>
      <c r="F80" s="49">
        <f>0.15*F78</f>
        <v>4500</v>
      </c>
    </row>
    <row r="81" spans="1:6" s="4" customFormat="1" ht="21">
      <c r="A81" s="72" t="s">
        <v>88</v>
      </c>
      <c r="B81" s="2">
        <f t="shared" si="2"/>
        <v>616658</v>
      </c>
      <c r="C81" s="2">
        <f>SUM(C78:C80)</f>
        <v>223482</v>
      </c>
      <c r="D81" s="2">
        <f>SUM(D78:D80)</f>
        <v>214319</v>
      </c>
      <c r="E81" s="2">
        <f>SUM(E78:E80)</f>
        <v>143157</v>
      </c>
      <c r="F81" s="51">
        <f>SUM(F78:F80)</f>
        <v>35700</v>
      </c>
    </row>
    <row r="82" spans="1:6" s="4" customFormat="1" ht="21">
      <c r="A82" s="71"/>
      <c r="B82" s="1"/>
      <c r="C82" s="1"/>
      <c r="D82" s="1"/>
      <c r="E82" s="1"/>
      <c r="F82" s="49"/>
    </row>
    <row r="83" spans="1:6" s="4" customFormat="1" ht="21">
      <c r="A83" s="65" t="s">
        <v>135</v>
      </c>
      <c r="B83" s="3" t="s">
        <v>27</v>
      </c>
      <c r="C83" s="2"/>
      <c r="D83" s="2"/>
      <c r="E83" s="2"/>
      <c r="F83" s="51"/>
    </row>
    <row r="84" spans="1:6" s="4" customFormat="1" ht="21">
      <c r="A84" s="71" t="s">
        <v>129</v>
      </c>
      <c r="B84" s="20">
        <f aca="true" t="shared" si="3" ref="B84:B103">SUM(C84:F84)</f>
        <v>0.004216275471979606</v>
      </c>
      <c r="C84" s="16">
        <f aca="true" t="shared" si="4" ref="C84:F103">C62/$B$81</f>
        <v>0.004216275471979606</v>
      </c>
      <c r="D84" s="16">
        <f t="shared" si="4"/>
        <v>0</v>
      </c>
      <c r="E84" s="16">
        <f t="shared" si="4"/>
        <v>0</v>
      </c>
      <c r="F84" s="48">
        <f t="shared" si="4"/>
        <v>0</v>
      </c>
    </row>
    <row r="85" spans="1:6" s="4" customFormat="1" ht="21">
      <c r="A85" s="71" t="s">
        <v>71</v>
      </c>
      <c r="B85" s="20">
        <f t="shared" si="3"/>
        <v>0.025946310596797577</v>
      </c>
      <c r="C85" s="16">
        <f t="shared" si="4"/>
        <v>0.025946310596797577</v>
      </c>
      <c r="D85" s="16">
        <f t="shared" si="4"/>
        <v>0</v>
      </c>
      <c r="E85" s="16">
        <f t="shared" si="4"/>
        <v>0</v>
      </c>
      <c r="F85" s="48">
        <f t="shared" si="4"/>
        <v>0</v>
      </c>
    </row>
    <row r="86" spans="1:6" s="4" customFormat="1" ht="21">
      <c r="A86" s="71" t="s">
        <v>72</v>
      </c>
      <c r="B86" s="20">
        <f t="shared" si="3"/>
        <v>0.17513759652838365</v>
      </c>
      <c r="C86" s="16">
        <f t="shared" si="4"/>
        <v>0.16151578346506493</v>
      </c>
      <c r="D86" s="16">
        <f t="shared" si="4"/>
        <v>0.013621813063318727</v>
      </c>
      <c r="E86" s="16">
        <f t="shared" si="4"/>
        <v>0</v>
      </c>
      <c r="F86" s="48">
        <f t="shared" si="4"/>
        <v>0</v>
      </c>
    </row>
    <row r="87" spans="1:6" s="4" customFormat="1" ht="21">
      <c r="A87" s="71" t="s">
        <v>73</v>
      </c>
      <c r="B87" s="20">
        <f t="shared" si="3"/>
        <v>0.048649332368995456</v>
      </c>
      <c r="C87" s="16">
        <f t="shared" si="4"/>
        <v>0.03648699927674659</v>
      </c>
      <c r="D87" s="16">
        <f t="shared" si="4"/>
        <v>0.012162333092248864</v>
      </c>
      <c r="E87" s="16">
        <f t="shared" si="4"/>
        <v>0</v>
      </c>
      <c r="F87" s="48">
        <f t="shared" si="4"/>
        <v>0</v>
      </c>
    </row>
    <row r="88" spans="1:6" s="4" customFormat="1" ht="21">
      <c r="A88" s="71" t="s">
        <v>74</v>
      </c>
      <c r="B88" s="20">
        <f t="shared" si="3"/>
        <v>0.012324497533478848</v>
      </c>
      <c r="C88" s="16">
        <f t="shared" si="4"/>
        <v>0.007702810958424281</v>
      </c>
      <c r="D88" s="16">
        <f t="shared" si="4"/>
        <v>0.004621686575054568</v>
      </c>
      <c r="E88" s="16">
        <f t="shared" si="4"/>
        <v>0</v>
      </c>
      <c r="F88" s="48">
        <f t="shared" si="4"/>
        <v>0</v>
      </c>
    </row>
    <row r="89" spans="1:6" s="4" customFormat="1" ht="21">
      <c r="A89" s="71" t="s">
        <v>76</v>
      </c>
      <c r="B89" s="20">
        <f t="shared" si="3"/>
        <v>0.06648742090429378</v>
      </c>
      <c r="C89" s="16">
        <f t="shared" si="4"/>
        <v>0.03324371045214689</v>
      </c>
      <c r="D89" s="16">
        <f t="shared" si="4"/>
        <v>0.03324371045214689</v>
      </c>
      <c r="E89" s="16">
        <f t="shared" si="4"/>
        <v>0</v>
      </c>
      <c r="F89" s="48">
        <f t="shared" si="4"/>
        <v>0</v>
      </c>
    </row>
    <row r="90" spans="1:6" s="4" customFormat="1" ht="21">
      <c r="A90" s="71" t="s">
        <v>75</v>
      </c>
      <c r="B90" s="20">
        <f t="shared" si="3"/>
        <v>0.06810906531659364</v>
      </c>
      <c r="C90" s="16">
        <f t="shared" si="4"/>
        <v>0.013621813063318727</v>
      </c>
      <c r="D90" s="16">
        <f t="shared" si="4"/>
        <v>0.05108179898744523</v>
      </c>
      <c r="E90" s="16">
        <f t="shared" si="4"/>
        <v>0.0034054532658296817</v>
      </c>
      <c r="F90" s="48">
        <f t="shared" si="4"/>
        <v>0</v>
      </c>
    </row>
    <row r="91" spans="1:6" s="4" customFormat="1" ht="21">
      <c r="A91" s="71" t="s">
        <v>77</v>
      </c>
      <c r="B91" s="20">
        <f t="shared" si="3"/>
        <v>0.08108222061499243</v>
      </c>
      <c r="C91" s="16">
        <f t="shared" si="4"/>
        <v>0</v>
      </c>
      <c r="D91" s="16">
        <f t="shared" si="4"/>
        <v>0.064217118727074</v>
      </c>
      <c r="E91" s="16">
        <f t="shared" si="4"/>
        <v>0.016865101887918423</v>
      </c>
      <c r="F91" s="48">
        <f t="shared" si="4"/>
        <v>0</v>
      </c>
    </row>
    <row r="92" spans="1:6" s="4" customFormat="1" ht="21">
      <c r="A92" s="71" t="s">
        <v>78</v>
      </c>
      <c r="B92" s="20">
        <f t="shared" si="3"/>
        <v>0.017838088535298335</v>
      </c>
      <c r="C92" s="16">
        <f t="shared" si="4"/>
        <v>0</v>
      </c>
      <c r="D92" s="16">
        <f t="shared" si="4"/>
        <v>0.007946057620269257</v>
      </c>
      <c r="E92" s="16">
        <f t="shared" si="4"/>
        <v>0.009892030915029076</v>
      </c>
      <c r="F92" s="48">
        <f t="shared" si="4"/>
        <v>0</v>
      </c>
    </row>
    <row r="93" spans="1:6" s="4" customFormat="1" ht="21">
      <c r="A93" s="71" t="s">
        <v>79</v>
      </c>
      <c r="B93" s="20">
        <f t="shared" si="3"/>
        <v>0.008108222061499243</v>
      </c>
      <c r="C93" s="16">
        <f t="shared" si="4"/>
        <v>0</v>
      </c>
      <c r="D93" s="16">
        <f t="shared" si="4"/>
        <v>0</v>
      </c>
      <c r="E93" s="16">
        <f t="shared" si="4"/>
        <v>0.0053514265605895004</v>
      </c>
      <c r="F93" s="48">
        <f t="shared" si="4"/>
        <v>0.0027567955009097423</v>
      </c>
    </row>
    <row r="94" spans="1:6" s="4" customFormat="1" ht="21">
      <c r="A94" s="71" t="s">
        <v>89</v>
      </c>
      <c r="B94" s="20">
        <f t="shared" si="3"/>
        <v>0.08594715385189197</v>
      </c>
      <c r="C94" s="16">
        <f t="shared" si="4"/>
        <v>0.017189430770378395</v>
      </c>
      <c r="D94" s="16">
        <f t="shared" si="4"/>
        <v>0.03178423048107703</v>
      </c>
      <c r="E94" s="16">
        <f t="shared" si="4"/>
        <v>0.036973492600436544</v>
      </c>
      <c r="F94" s="48">
        <f t="shared" si="4"/>
        <v>0</v>
      </c>
    </row>
    <row r="95" spans="1:6" s="4" customFormat="1" ht="21">
      <c r="A95" s="71" t="s">
        <v>80</v>
      </c>
      <c r="B95" s="20">
        <f t="shared" si="3"/>
        <v>0.029189599421397275</v>
      </c>
      <c r="C95" s="16">
        <f t="shared" si="4"/>
        <v>0</v>
      </c>
      <c r="D95" s="16">
        <f t="shared" si="4"/>
        <v>0</v>
      </c>
      <c r="E95" s="16">
        <f t="shared" si="4"/>
        <v>0.021892199566047956</v>
      </c>
      <c r="F95" s="48">
        <f t="shared" si="4"/>
        <v>0.007297399855349319</v>
      </c>
    </row>
    <row r="96" spans="1:6" s="4" customFormat="1" ht="21">
      <c r="A96" s="71" t="s">
        <v>81</v>
      </c>
      <c r="B96" s="20">
        <f t="shared" si="3"/>
        <v>0.02108137735989803</v>
      </c>
      <c r="C96" s="16">
        <f t="shared" si="4"/>
        <v>0</v>
      </c>
      <c r="D96" s="16">
        <f t="shared" si="4"/>
        <v>0.0052703443399745075</v>
      </c>
      <c r="E96" s="16">
        <f t="shared" si="4"/>
        <v>0.015811033019923523</v>
      </c>
      <c r="F96" s="48">
        <f t="shared" si="4"/>
        <v>0</v>
      </c>
    </row>
    <row r="97" spans="1:6" s="4" customFormat="1" ht="21">
      <c r="A97" s="71" t="s">
        <v>82</v>
      </c>
      <c r="B97" s="20">
        <f t="shared" si="3"/>
        <v>0.0567575544304947</v>
      </c>
      <c r="C97" s="16">
        <f t="shared" si="4"/>
        <v>0</v>
      </c>
      <c r="D97" s="16">
        <f t="shared" si="4"/>
        <v>0.014189388607623674</v>
      </c>
      <c r="E97" s="16">
        <f t="shared" si="4"/>
        <v>0.03405453265829682</v>
      </c>
      <c r="F97" s="48">
        <f t="shared" si="4"/>
        <v>0.008513633164574205</v>
      </c>
    </row>
    <row r="98" spans="1:6" s="4" customFormat="1" ht="21">
      <c r="A98" s="71" t="s">
        <v>83</v>
      </c>
      <c r="B98" s="20">
        <f t="shared" si="3"/>
        <v>0.12324497533478848</v>
      </c>
      <c r="C98" s="16">
        <f t="shared" si="4"/>
        <v>0</v>
      </c>
      <c r="D98" s="16">
        <f t="shared" si="4"/>
        <v>0.04929799013391539</v>
      </c>
      <c r="E98" s="16">
        <f t="shared" si="4"/>
        <v>0.046216865750545684</v>
      </c>
      <c r="F98" s="48">
        <f t="shared" si="4"/>
        <v>0.02773011945032741</v>
      </c>
    </row>
    <row r="99" spans="1:6" s="4" customFormat="1" ht="21">
      <c r="A99" s="71" t="s">
        <v>84</v>
      </c>
      <c r="B99" s="20">
        <f t="shared" si="3"/>
        <v>0.016216444122998483</v>
      </c>
      <c r="C99" s="16">
        <f t="shared" si="4"/>
        <v>0.004621686575054568</v>
      </c>
      <c r="D99" s="16">
        <f t="shared" si="4"/>
        <v>0.004621686575054568</v>
      </c>
      <c r="E99" s="16">
        <f t="shared" si="4"/>
        <v>0.004621686575054568</v>
      </c>
      <c r="F99" s="48">
        <f t="shared" si="4"/>
        <v>0.0023513843978347805</v>
      </c>
    </row>
    <row r="100" spans="1:6" s="18" customFormat="1" ht="21">
      <c r="A100" s="72" t="s">
        <v>110</v>
      </c>
      <c r="B100" s="20">
        <f t="shared" si="3"/>
        <v>0.8403361344537815</v>
      </c>
      <c r="C100" s="20">
        <f t="shared" si="4"/>
        <v>0.30454482062991156</v>
      </c>
      <c r="D100" s="20">
        <f t="shared" si="4"/>
        <v>0.29205815865520274</v>
      </c>
      <c r="E100" s="20">
        <f t="shared" si="4"/>
        <v>0.1950838227996718</v>
      </c>
      <c r="F100" s="52">
        <f t="shared" si="4"/>
        <v>0.048649332368995456</v>
      </c>
    </row>
    <row r="101" spans="1:6" s="4" customFormat="1" ht="21">
      <c r="A101" s="71" t="s">
        <v>85</v>
      </c>
      <c r="B101" s="20">
        <f t="shared" si="3"/>
        <v>0.03361344537815126</v>
      </c>
      <c r="C101" s="16">
        <f t="shared" si="4"/>
        <v>0.012181792825196462</v>
      </c>
      <c r="D101" s="16">
        <f t="shared" si="4"/>
        <v>0.011682326346208109</v>
      </c>
      <c r="E101" s="16">
        <f t="shared" si="4"/>
        <v>0.007803352911986871</v>
      </c>
      <c r="F101" s="48">
        <f t="shared" si="4"/>
        <v>0.0019459732947598183</v>
      </c>
    </row>
    <row r="102" spans="1:6" s="4" customFormat="1" ht="21">
      <c r="A102" s="71" t="s">
        <v>86</v>
      </c>
      <c r="B102" s="20">
        <f t="shared" si="3"/>
        <v>0.12605042016806722</v>
      </c>
      <c r="C102" s="16">
        <f t="shared" si="4"/>
        <v>0.04568172309448673</v>
      </c>
      <c r="D102" s="16">
        <f t="shared" si="4"/>
        <v>0.04380872379828041</v>
      </c>
      <c r="E102" s="16">
        <f t="shared" si="4"/>
        <v>0.029262573419950765</v>
      </c>
      <c r="F102" s="48">
        <f t="shared" si="4"/>
        <v>0.007297399855349319</v>
      </c>
    </row>
    <row r="103" spans="1:6" s="18" customFormat="1" ht="21">
      <c r="A103" s="72" t="s">
        <v>88</v>
      </c>
      <c r="B103" s="20">
        <f t="shared" si="3"/>
        <v>1</v>
      </c>
      <c r="C103" s="20">
        <f t="shared" si="4"/>
        <v>0.36240833654959476</v>
      </c>
      <c r="D103" s="20">
        <f t="shared" si="4"/>
        <v>0.34754920879969126</v>
      </c>
      <c r="E103" s="20">
        <f t="shared" si="4"/>
        <v>0.2321497491316094</v>
      </c>
      <c r="F103" s="52">
        <f t="shared" si="4"/>
        <v>0.057892705519104595</v>
      </c>
    </row>
    <row r="104" spans="1:6" s="4" customFormat="1" ht="21">
      <c r="A104" s="72"/>
      <c r="B104" s="42"/>
      <c r="C104" s="42"/>
      <c r="D104" s="42"/>
      <c r="E104" s="42"/>
      <c r="F104" s="53"/>
    </row>
    <row r="105" spans="1:6" s="4" customFormat="1" ht="21">
      <c r="A105" s="65" t="s">
        <v>136</v>
      </c>
      <c r="B105" s="3" t="s">
        <v>27</v>
      </c>
      <c r="C105" s="2"/>
      <c r="D105" s="2"/>
      <c r="E105" s="2"/>
      <c r="F105" s="51"/>
    </row>
    <row r="106" spans="1:6" s="4" customFormat="1" ht="21">
      <c r="A106" s="71" t="s">
        <v>129</v>
      </c>
      <c r="B106" s="2">
        <f aca="true" t="shared" si="5" ref="B106:B125">SUM(C106:F106)</f>
        <v>3016</v>
      </c>
      <c r="C106" s="1">
        <f aca="true" t="shared" si="6" ref="C106:C121">C62*(1+C$13)</f>
        <v>3016</v>
      </c>
      <c r="D106" s="1">
        <f aca="true" t="shared" si="7" ref="D106:D121">D62*(1+D$13)*(1+C$13)</f>
        <v>0</v>
      </c>
      <c r="E106" s="1">
        <f aca="true" t="shared" si="8" ref="E106:E121">E62*(1+E$13)*(1+D$13)*(1+C$13)</f>
        <v>0</v>
      </c>
      <c r="F106" s="49">
        <f aca="true" t="shared" si="9" ref="F106:F121">F62*(1+F$13)*(1+E$13)*(1+D$13)*(1+C$13)</f>
        <v>0</v>
      </c>
    </row>
    <row r="107" spans="1:6" s="4" customFormat="1" ht="21">
      <c r="A107" s="71" t="s">
        <v>71</v>
      </c>
      <c r="B107" s="2">
        <f t="shared" si="5"/>
        <v>18560</v>
      </c>
      <c r="C107" s="1">
        <f t="shared" si="6"/>
        <v>18560</v>
      </c>
      <c r="D107" s="1">
        <f t="shared" si="7"/>
        <v>0</v>
      </c>
      <c r="E107" s="1">
        <f t="shared" si="8"/>
        <v>0</v>
      </c>
      <c r="F107" s="49">
        <f t="shared" si="9"/>
        <v>0</v>
      </c>
    </row>
    <row r="108" spans="1:6" s="4" customFormat="1" ht="21">
      <c r="A108" s="71" t="s">
        <v>72</v>
      </c>
      <c r="B108" s="2">
        <f t="shared" si="5"/>
        <v>126839.03999999998</v>
      </c>
      <c r="C108" s="1">
        <f t="shared" si="6"/>
        <v>115535.99999999999</v>
      </c>
      <c r="D108" s="1">
        <f t="shared" si="7"/>
        <v>11303.039999999999</v>
      </c>
      <c r="E108" s="1">
        <f t="shared" si="8"/>
        <v>0</v>
      </c>
      <c r="F108" s="49">
        <f t="shared" si="9"/>
        <v>0</v>
      </c>
    </row>
    <row r="109" spans="1:6" s="4" customFormat="1" ht="21">
      <c r="A109" s="71" t="s">
        <v>73</v>
      </c>
      <c r="B109" s="2">
        <f t="shared" si="5"/>
        <v>36192</v>
      </c>
      <c r="C109" s="1">
        <f t="shared" si="6"/>
        <v>26100</v>
      </c>
      <c r="D109" s="1">
        <f t="shared" si="7"/>
        <v>10092</v>
      </c>
      <c r="E109" s="1">
        <f t="shared" si="8"/>
        <v>0</v>
      </c>
      <c r="F109" s="49">
        <f t="shared" si="9"/>
        <v>0</v>
      </c>
    </row>
    <row r="110" spans="1:6" s="4" customFormat="1" ht="21">
      <c r="A110" s="71" t="s">
        <v>74</v>
      </c>
      <c r="B110" s="2">
        <f t="shared" si="5"/>
        <v>9344.96</v>
      </c>
      <c r="C110" s="1">
        <f t="shared" si="6"/>
        <v>5510</v>
      </c>
      <c r="D110" s="1">
        <f t="shared" si="7"/>
        <v>3834.959999999999</v>
      </c>
      <c r="E110" s="1">
        <f t="shared" si="8"/>
        <v>0</v>
      </c>
      <c r="F110" s="49">
        <f t="shared" si="9"/>
        <v>0</v>
      </c>
    </row>
    <row r="111" spans="1:6" s="18" customFormat="1" ht="21">
      <c r="A111" s="71" t="s">
        <v>76</v>
      </c>
      <c r="B111" s="2">
        <f t="shared" si="5"/>
        <v>51364.8</v>
      </c>
      <c r="C111" s="1">
        <f t="shared" si="6"/>
        <v>23780</v>
      </c>
      <c r="D111" s="1">
        <f t="shared" si="7"/>
        <v>27584.8</v>
      </c>
      <c r="E111" s="1">
        <f t="shared" si="8"/>
        <v>0</v>
      </c>
      <c r="F111" s="49">
        <f t="shared" si="9"/>
        <v>0</v>
      </c>
    </row>
    <row r="112" spans="1:6" s="18" customFormat="1" ht="21">
      <c r="A112" s="71" t="s">
        <v>75</v>
      </c>
      <c r="B112" s="2">
        <f t="shared" si="5"/>
        <v>55408.281599999995</v>
      </c>
      <c r="C112" s="1">
        <f t="shared" si="6"/>
        <v>9744</v>
      </c>
      <c r="D112" s="1">
        <f t="shared" si="7"/>
        <v>42386.399999999994</v>
      </c>
      <c r="E112" s="1">
        <f t="shared" si="8"/>
        <v>3277.8815999999997</v>
      </c>
      <c r="F112" s="49">
        <f t="shared" si="9"/>
        <v>0</v>
      </c>
    </row>
    <row r="113" spans="1:6" s="18" customFormat="1" ht="21">
      <c r="A113" s="71" t="s">
        <v>77</v>
      </c>
      <c r="B113" s="2">
        <f t="shared" si="5"/>
        <v>69519.0784</v>
      </c>
      <c r="C113" s="1">
        <f t="shared" si="6"/>
        <v>0</v>
      </c>
      <c r="D113" s="1">
        <f t="shared" si="7"/>
        <v>53285.759999999995</v>
      </c>
      <c r="E113" s="1">
        <f t="shared" si="8"/>
        <v>16233.318399999998</v>
      </c>
      <c r="F113" s="49">
        <f t="shared" si="9"/>
        <v>0</v>
      </c>
    </row>
    <row r="114" spans="1:6" s="18" customFormat="1" ht="21">
      <c r="A114" s="71" t="s">
        <v>78</v>
      </c>
      <c r="B114" s="2">
        <f t="shared" si="5"/>
        <v>16114.905599999998</v>
      </c>
      <c r="C114" s="1">
        <f t="shared" si="6"/>
        <v>0</v>
      </c>
      <c r="D114" s="1">
        <f t="shared" si="7"/>
        <v>6593.44</v>
      </c>
      <c r="E114" s="1">
        <f t="shared" si="8"/>
        <v>9521.465599999998</v>
      </c>
      <c r="F114" s="49">
        <f t="shared" si="9"/>
        <v>0</v>
      </c>
    </row>
    <row r="115" spans="1:6" s="18" customFormat="1" ht="21">
      <c r="A115" s="71" t="s">
        <v>79</v>
      </c>
      <c r="B115" s="2">
        <f t="shared" si="5"/>
        <v>8229.043711999999</v>
      </c>
      <c r="C115" s="1">
        <f t="shared" si="6"/>
        <v>0</v>
      </c>
      <c r="D115" s="1">
        <f t="shared" si="7"/>
        <v>0</v>
      </c>
      <c r="E115" s="1">
        <f t="shared" si="8"/>
        <v>5150.956799999999</v>
      </c>
      <c r="F115" s="49">
        <f t="shared" si="9"/>
        <v>3078.086911999999</v>
      </c>
    </row>
    <row r="116" spans="1:6" s="18" customFormat="1" ht="21">
      <c r="A116" s="71" t="s">
        <v>89</v>
      </c>
      <c r="B116" s="2">
        <f t="shared" si="5"/>
        <v>74258.18879999997</v>
      </c>
      <c r="C116" s="1">
        <f t="shared" si="6"/>
        <v>12296</v>
      </c>
      <c r="D116" s="1">
        <f t="shared" si="7"/>
        <v>26373.76</v>
      </c>
      <c r="E116" s="1">
        <f t="shared" si="8"/>
        <v>35588.42879999999</v>
      </c>
      <c r="F116" s="49">
        <f t="shared" si="9"/>
        <v>0</v>
      </c>
    </row>
    <row r="117" spans="1:6" s="18" customFormat="1" ht="21">
      <c r="A117" s="71" t="s">
        <v>80</v>
      </c>
      <c r="B117" s="2">
        <f t="shared" si="5"/>
        <v>29219.97311999999</v>
      </c>
      <c r="C117" s="1">
        <f t="shared" si="6"/>
        <v>0</v>
      </c>
      <c r="D117" s="1">
        <f t="shared" si="7"/>
        <v>0</v>
      </c>
      <c r="E117" s="1">
        <f t="shared" si="8"/>
        <v>21072.095999999994</v>
      </c>
      <c r="F117" s="49">
        <f t="shared" si="9"/>
        <v>8147.877119999998</v>
      </c>
    </row>
    <row r="118" spans="1:6" s="25" customFormat="1" ht="21">
      <c r="A118" s="71" t="s">
        <v>81</v>
      </c>
      <c r="B118" s="2">
        <f t="shared" si="5"/>
        <v>19591.935999999994</v>
      </c>
      <c r="C118" s="1">
        <f t="shared" si="6"/>
        <v>0</v>
      </c>
      <c r="D118" s="1">
        <f t="shared" si="7"/>
        <v>4373.199999999999</v>
      </c>
      <c r="E118" s="1">
        <f t="shared" si="8"/>
        <v>15218.735999999997</v>
      </c>
      <c r="F118" s="49">
        <f t="shared" si="9"/>
        <v>0</v>
      </c>
    </row>
    <row r="119" spans="1:6" s="4" customFormat="1" ht="21">
      <c r="A119" s="71" t="s">
        <v>82</v>
      </c>
      <c r="B119" s="2">
        <f t="shared" si="5"/>
        <v>54058.67264</v>
      </c>
      <c r="C119" s="1">
        <f t="shared" si="6"/>
        <v>0</v>
      </c>
      <c r="D119" s="1">
        <f t="shared" si="7"/>
        <v>11774</v>
      </c>
      <c r="E119" s="1">
        <f t="shared" si="8"/>
        <v>32778.816</v>
      </c>
      <c r="F119" s="49">
        <f t="shared" si="9"/>
        <v>9505.856639999998</v>
      </c>
    </row>
    <row r="120" spans="1:6" s="17" customFormat="1" ht="21">
      <c r="A120" s="71" t="s">
        <v>83</v>
      </c>
      <c r="B120" s="2">
        <f t="shared" si="5"/>
        <v>116353.70905599998</v>
      </c>
      <c r="C120" s="1">
        <f t="shared" si="6"/>
        <v>0</v>
      </c>
      <c r="D120" s="1">
        <f t="shared" si="7"/>
        <v>40906.24</v>
      </c>
      <c r="E120" s="1">
        <f t="shared" si="8"/>
        <v>44485.53599999999</v>
      </c>
      <c r="F120" s="49">
        <f t="shared" si="9"/>
        <v>30961.933055999994</v>
      </c>
    </row>
    <row r="121" spans="1:6" s="4" customFormat="1" ht="21">
      <c r="A121" s="71" t="s">
        <v>84</v>
      </c>
      <c r="B121" s="2">
        <f t="shared" si="5"/>
        <v>14214.940671999997</v>
      </c>
      <c r="C121" s="1">
        <f t="shared" si="6"/>
        <v>3305.9999999999995</v>
      </c>
      <c r="D121" s="1">
        <f t="shared" si="7"/>
        <v>3834.959999999999</v>
      </c>
      <c r="E121" s="1">
        <f t="shared" si="8"/>
        <v>4448.553599999998</v>
      </c>
      <c r="F121" s="49">
        <f t="shared" si="9"/>
        <v>2625.427071999999</v>
      </c>
    </row>
    <row r="122" spans="1:6" s="4" customFormat="1" ht="21">
      <c r="A122" s="72" t="s">
        <v>110</v>
      </c>
      <c r="B122" s="2">
        <f t="shared" si="5"/>
        <v>702285.5295999999</v>
      </c>
      <c r="C122" s="2">
        <f>SUM(C106:C121)</f>
        <v>217848</v>
      </c>
      <c r="D122" s="2">
        <f>SUM(D106:D121)</f>
        <v>242342.56</v>
      </c>
      <c r="E122" s="2">
        <f>SUM(E106:E121)</f>
        <v>187775.78879999995</v>
      </c>
      <c r="F122" s="51">
        <f>SUM(F106:F121)</f>
        <v>54319.18079999999</v>
      </c>
    </row>
    <row r="123" spans="1:6" s="19" customFormat="1" ht="21">
      <c r="A123" s="71" t="s">
        <v>85</v>
      </c>
      <c r="B123" s="2">
        <f t="shared" si="5"/>
        <v>28091.421184</v>
      </c>
      <c r="C123" s="1">
        <f>0.04*C122</f>
        <v>8713.92</v>
      </c>
      <c r="D123" s="1">
        <f>0.04*D122</f>
        <v>9693.7024</v>
      </c>
      <c r="E123" s="1">
        <f>0.04*E122</f>
        <v>7511.031551999999</v>
      </c>
      <c r="F123" s="49">
        <f>0.04*F122</f>
        <v>2172.7672319999997</v>
      </c>
    </row>
    <row r="124" spans="1:6" s="19" customFormat="1" ht="21">
      <c r="A124" s="71" t="s">
        <v>86</v>
      </c>
      <c r="B124" s="2">
        <f t="shared" si="5"/>
        <v>105342.82944</v>
      </c>
      <c r="C124" s="1">
        <f>0.15*C122</f>
        <v>32677.199999999997</v>
      </c>
      <c r="D124" s="1">
        <f>0.15*D122</f>
        <v>36351.384</v>
      </c>
      <c r="E124" s="1">
        <f>0.15*E122</f>
        <v>28166.36831999999</v>
      </c>
      <c r="F124" s="49">
        <f>0.15*F122</f>
        <v>8147.877119999997</v>
      </c>
    </row>
    <row r="125" spans="1:6" s="19" customFormat="1" ht="21">
      <c r="A125" s="72" t="s">
        <v>88</v>
      </c>
      <c r="B125" s="2">
        <f t="shared" si="5"/>
        <v>835719.780224</v>
      </c>
      <c r="C125" s="2">
        <f>SUM(C122:C124)</f>
        <v>259239.12</v>
      </c>
      <c r="D125" s="2">
        <f>SUM(D122:D124)</f>
        <v>288387.6464</v>
      </c>
      <c r="E125" s="2">
        <f>SUM(E122:E124)</f>
        <v>223453.18867199993</v>
      </c>
      <c r="F125" s="51">
        <f>SUM(F122:F124)</f>
        <v>64639.82515199998</v>
      </c>
    </row>
    <row r="126" spans="1:6" s="19" customFormat="1" ht="21">
      <c r="A126" s="71"/>
      <c r="B126" s="1"/>
      <c r="C126" s="1"/>
      <c r="D126" s="1"/>
      <c r="E126" s="1"/>
      <c r="F126" s="49"/>
    </row>
    <row r="127" spans="1:6" s="19" customFormat="1" ht="21">
      <c r="A127" s="65" t="s">
        <v>137</v>
      </c>
      <c r="B127" s="3" t="s">
        <v>27</v>
      </c>
      <c r="C127" s="2"/>
      <c r="D127" s="2"/>
      <c r="E127" s="2"/>
      <c r="F127" s="51"/>
    </row>
    <row r="128" spans="1:6" s="19" customFormat="1" ht="21">
      <c r="A128" s="71" t="s">
        <v>129</v>
      </c>
      <c r="B128" s="20">
        <f aca="true" t="shared" si="10" ref="B128:B147">SUM(C128:F128)</f>
        <v>0.003608865161946525</v>
      </c>
      <c r="C128" s="16">
        <f aca="true" t="shared" si="11" ref="C128:F147">C106/$B$125</f>
        <v>0.003608865161946525</v>
      </c>
      <c r="D128" s="16">
        <f t="shared" si="11"/>
        <v>0</v>
      </c>
      <c r="E128" s="16">
        <f t="shared" si="11"/>
        <v>0</v>
      </c>
      <c r="F128" s="48">
        <f t="shared" si="11"/>
        <v>0</v>
      </c>
    </row>
    <row r="129" spans="1:6" s="19" customFormat="1" ht="21">
      <c r="A129" s="71" t="s">
        <v>71</v>
      </c>
      <c r="B129" s="20">
        <f t="shared" si="10"/>
        <v>0.022208400996594</v>
      </c>
      <c r="C129" s="16">
        <f t="shared" si="11"/>
        <v>0.022208400996594</v>
      </c>
      <c r="D129" s="16">
        <f t="shared" si="11"/>
        <v>0</v>
      </c>
      <c r="E129" s="16">
        <f t="shared" si="11"/>
        <v>0</v>
      </c>
      <c r="F129" s="48">
        <f t="shared" si="11"/>
        <v>0</v>
      </c>
    </row>
    <row r="130" spans="1:6" s="19" customFormat="1" ht="21">
      <c r="A130" s="71" t="s">
        <v>72</v>
      </c>
      <c r="B130" s="20">
        <f t="shared" si="10"/>
        <v>0.1517722124107234</v>
      </c>
      <c r="C130" s="16">
        <f t="shared" si="11"/>
        <v>0.13824729620379764</v>
      </c>
      <c r="D130" s="16">
        <f t="shared" si="11"/>
        <v>0.013524916206925745</v>
      </c>
      <c r="E130" s="16">
        <f t="shared" si="11"/>
        <v>0</v>
      </c>
      <c r="F130" s="48">
        <f t="shared" si="11"/>
        <v>0</v>
      </c>
    </row>
    <row r="131" spans="1:6" s="19" customFormat="1" ht="21">
      <c r="A131" s="71" t="s">
        <v>73</v>
      </c>
      <c r="B131" s="20">
        <f t="shared" si="10"/>
        <v>0.0433063819433583</v>
      </c>
      <c r="C131" s="16">
        <f t="shared" si="11"/>
        <v>0.031230563901460312</v>
      </c>
      <c r="D131" s="16">
        <f t="shared" si="11"/>
        <v>0.012075818041897987</v>
      </c>
      <c r="E131" s="16">
        <f t="shared" si="11"/>
        <v>0</v>
      </c>
      <c r="F131" s="48">
        <f t="shared" si="11"/>
        <v>0</v>
      </c>
    </row>
    <row r="132" spans="1:6" s="17" customFormat="1" ht="21">
      <c r="A132" s="71" t="s">
        <v>74</v>
      </c>
      <c r="B132" s="20">
        <f t="shared" si="10"/>
        <v>0.011181929901785077</v>
      </c>
      <c r="C132" s="16">
        <f t="shared" si="11"/>
        <v>0.006593119045863844</v>
      </c>
      <c r="D132" s="16">
        <f t="shared" si="11"/>
        <v>0.0045888108559212345</v>
      </c>
      <c r="E132" s="16">
        <f t="shared" si="11"/>
        <v>0</v>
      </c>
      <c r="F132" s="48">
        <f t="shared" si="11"/>
        <v>0</v>
      </c>
    </row>
    <row r="133" spans="1:6" s="21" customFormat="1" ht="21">
      <c r="A133" s="71" t="s">
        <v>76</v>
      </c>
      <c r="B133" s="20">
        <f t="shared" si="10"/>
        <v>0.06146174975807389</v>
      </c>
      <c r="C133" s="16">
        <f t="shared" si="11"/>
        <v>0.028454513776886063</v>
      </c>
      <c r="D133" s="16">
        <f t="shared" si="11"/>
        <v>0.03300723598118783</v>
      </c>
      <c r="E133" s="16">
        <f t="shared" si="11"/>
        <v>0</v>
      </c>
      <c r="F133" s="48">
        <f t="shared" si="11"/>
        <v>0</v>
      </c>
    </row>
    <row r="134" spans="1:6" s="21" customFormat="1" ht="21">
      <c r="A134" s="71" t="s">
        <v>75</v>
      </c>
      <c r="B134" s="20">
        <f t="shared" si="10"/>
        <v>0.06630007199919186</v>
      </c>
      <c r="C134" s="16">
        <f t="shared" si="11"/>
        <v>0.01165941052321185</v>
      </c>
      <c r="D134" s="16">
        <f t="shared" si="11"/>
        <v>0.05071843577597154</v>
      </c>
      <c r="E134" s="16">
        <f t="shared" si="11"/>
        <v>0.003922225700008466</v>
      </c>
      <c r="F134" s="48">
        <f t="shared" si="11"/>
        <v>0</v>
      </c>
    </row>
    <row r="135" spans="1:6" s="18" customFormat="1" ht="21">
      <c r="A135" s="71" t="s">
        <v>77</v>
      </c>
      <c r="B135" s="20">
        <f t="shared" si="10"/>
        <v>0.08318467510888235</v>
      </c>
      <c r="C135" s="16">
        <f t="shared" si="11"/>
        <v>0</v>
      </c>
      <c r="D135" s="16">
        <f t="shared" si="11"/>
        <v>0.06376031926122137</v>
      </c>
      <c r="E135" s="16">
        <f t="shared" si="11"/>
        <v>0.019424355847660973</v>
      </c>
      <c r="F135" s="48">
        <f t="shared" si="11"/>
        <v>0</v>
      </c>
    </row>
    <row r="136" spans="1:6" s="18" customFormat="1" ht="21">
      <c r="A136" s="71" t="s">
        <v>78</v>
      </c>
      <c r="B136" s="20">
        <f t="shared" si="10"/>
        <v>0.0192826662493027</v>
      </c>
      <c r="C136" s="16">
        <f t="shared" si="11"/>
        <v>0</v>
      </c>
      <c r="D136" s="16">
        <f t="shared" si="11"/>
        <v>0.007889534454040018</v>
      </c>
      <c r="E136" s="16">
        <f t="shared" si="11"/>
        <v>0.011393131795262685</v>
      </c>
      <c r="F136" s="48">
        <f t="shared" si="11"/>
        <v>0</v>
      </c>
    </row>
    <row r="137" spans="1:6" s="18" customFormat="1" ht="21">
      <c r="A137" s="71" t="s">
        <v>79</v>
      </c>
      <c r="B137" s="20">
        <f t="shared" si="10"/>
        <v>0.009846654233545062</v>
      </c>
      <c r="C137" s="16">
        <f t="shared" si="11"/>
        <v>0</v>
      </c>
      <c r="D137" s="16">
        <f t="shared" si="11"/>
        <v>0</v>
      </c>
      <c r="E137" s="16">
        <f t="shared" si="11"/>
        <v>0.006163497528584732</v>
      </c>
      <c r="F137" s="48">
        <f t="shared" si="11"/>
        <v>0.00368315670496033</v>
      </c>
    </row>
    <row r="138" spans="1:6" s="18" customFormat="1" ht="21">
      <c r="A138" s="71" t="s">
        <v>89</v>
      </c>
      <c r="B138" s="20">
        <f t="shared" si="10"/>
        <v>0.08885536821935264</v>
      </c>
      <c r="C138" s="16">
        <f t="shared" si="11"/>
        <v>0.014713065660243526</v>
      </c>
      <c r="D138" s="16">
        <f t="shared" si="11"/>
        <v>0.03155813781616007</v>
      </c>
      <c r="E138" s="16">
        <f t="shared" si="11"/>
        <v>0.04258416474294905</v>
      </c>
      <c r="F138" s="48">
        <f t="shared" si="11"/>
        <v>0</v>
      </c>
    </row>
    <row r="139" spans="1:6" s="18" customFormat="1" ht="21">
      <c r="A139" s="71" t="s">
        <v>80</v>
      </c>
      <c r="B139" s="20">
        <f t="shared" si="10"/>
        <v>0.03496384052578975</v>
      </c>
      <c r="C139" s="16">
        <f t="shared" si="11"/>
        <v>0</v>
      </c>
      <c r="D139" s="16">
        <f t="shared" si="11"/>
        <v>0</v>
      </c>
      <c r="E139" s="16">
        <f t="shared" si="11"/>
        <v>0.02521430807148299</v>
      </c>
      <c r="F139" s="48">
        <f t="shared" si="11"/>
        <v>0.009749532454306757</v>
      </c>
    </row>
    <row r="140" spans="1:6" s="18" customFormat="1" ht="21">
      <c r="A140" s="71" t="s">
        <v>81</v>
      </c>
      <c r="B140" s="20">
        <f t="shared" si="10"/>
        <v>0.023443188092004623</v>
      </c>
      <c r="C140" s="16">
        <f t="shared" si="11"/>
        <v>0</v>
      </c>
      <c r="D140" s="16">
        <f t="shared" si="11"/>
        <v>0.00523285448482246</v>
      </c>
      <c r="E140" s="16">
        <f t="shared" si="11"/>
        <v>0.01821033360718216</v>
      </c>
      <c r="F140" s="48">
        <f t="shared" si="11"/>
        <v>0</v>
      </c>
    </row>
    <row r="141" spans="1:6" s="18" customFormat="1" ht="21">
      <c r="A141" s="71" t="s">
        <v>82</v>
      </c>
      <c r="B141" s="20">
        <f t="shared" si="10"/>
        <v>0.06468516591232353</v>
      </c>
      <c r="C141" s="16">
        <f t="shared" si="11"/>
        <v>0</v>
      </c>
      <c r="D141" s="16">
        <f t="shared" si="11"/>
        <v>0.01408845438221432</v>
      </c>
      <c r="E141" s="16">
        <f t="shared" si="11"/>
        <v>0.039222257000084665</v>
      </c>
      <c r="F141" s="48">
        <f t="shared" si="11"/>
        <v>0.01137445453002455</v>
      </c>
    </row>
    <row r="142" spans="1:6" s="18" customFormat="1" ht="21">
      <c r="A142" s="71" t="s">
        <v>83</v>
      </c>
      <c r="B142" s="20">
        <f t="shared" si="10"/>
        <v>0.13922574505154517</v>
      </c>
      <c r="C142" s="16">
        <f t="shared" si="11"/>
        <v>0</v>
      </c>
      <c r="D142" s="16">
        <f t="shared" si="11"/>
        <v>0.048947315796493175</v>
      </c>
      <c r="E142" s="16">
        <f t="shared" si="11"/>
        <v>0.05323020592868632</v>
      </c>
      <c r="F142" s="48">
        <f t="shared" si="11"/>
        <v>0.037048223326365676</v>
      </c>
    </row>
    <row r="143" spans="1:6" s="18" customFormat="1" ht="21">
      <c r="A143" s="71" t="s">
        <v>84</v>
      </c>
      <c r="B143" s="20">
        <f t="shared" si="10"/>
        <v>0.01700921888936257</v>
      </c>
      <c r="C143" s="16">
        <f t="shared" si="11"/>
        <v>0.003955871427518306</v>
      </c>
      <c r="D143" s="16">
        <f t="shared" si="11"/>
        <v>0.0045888108559212345</v>
      </c>
      <c r="E143" s="16">
        <f t="shared" si="11"/>
        <v>0.005323020592868631</v>
      </c>
      <c r="F143" s="48">
        <f t="shared" si="11"/>
        <v>0.003141516013054399</v>
      </c>
    </row>
    <row r="144" spans="1:6" s="18" customFormat="1" ht="21">
      <c r="A144" s="72" t="s">
        <v>110</v>
      </c>
      <c r="B144" s="20">
        <f t="shared" si="10"/>
        <v>0.8403361344537814</v>
      </c>
      <c r="C144" s="20">
        <f t="shared" si="11"/>
        <v>0.2606711066975221</v>
      </c>
      <c r="D144" s="20">
        <f t="shared" si="11"/>
        <v>0.289980643912777</v>
      </c>
      <c r="E144" s="20">
        <f t="shared" si="11"/>
        <v>0.22468750081477065</v>
      </c>
      <c r="F144" s="52">
        <f t="shared" si="11"/>
        <v>0.06499688302871172</v>
      </c>
    </row>
    <row r="145" spans="1:6" s="18" customFormat="1" ht="21">
      <c r="A145" s="71" t="s">
        <v>85</v>
      </c>
      <c r="B145" s="20">
        <f t="shared" si="10"/>
        <v>0.03361344537815126</v>
      </c>
      <c r="C145" s="16">
        <f t="shared" si="11"/>
        <v>0.010426844267900883</v>
      </c>
      <c r="D145" s="16">
        <f t="shared" si="11"/>
        <v>0.01159922575651108</v>
      </c>
      <c r="E145" s="16">
        <f t="shared" si="11"/>
        <v>0.008987500032590827</v>
      </c>
      <c r="F145" s="48">
        <f t="shared" si="11"/>
        <v>0.0025998753211484687</v>
      </c>
    </row>
    <row r="146" spans="1:6" s="18" customFormat="1" ht="21">
      <c r="A146" s="71" t="s">
        <v>86</v>
      </c>
      <c r="B146" s="20">
        <f t="shared" si="10"/>
        <v>0.12605042016806722</v>
      </c>
      <c r="C146" s="16">
        <f t="shared" si="11"/>
        <v>0.03910066600462831</v>
      </c>
      <c r="D146" s="16">
        <f t="shared" si="11"/>
        <v>0.04349709658691655</v>
      </c>
      <c r="E146" s="16">
        <f t="shared" si="11"/>
        <v>0.0337031251222156</v>
      </c>
      <c r="F146" s="48">
        <f t="shared" si="11"/>
        <v>0.009749532454306755</v>
      </c>
    </row>
    <row r="147" spans="1:6" s="18" customFormat="1" ht="21">
      <c r="A147" s="72" t="s">
        <v>88</v>
      </c>
      <c r="B147" s="20">
        <f t="shared" si="10"/>
        <v>0.9999999999999998</v>
      </c>
      <c r="C147" s="20">
        <f t="shared" si="11"/>
        <v>0.31019861697005124</v>
      </c>
      <c r="D147" s="20">
        <f t="shared" si="11"/>
        <v>0.34507696625620465</v>
      </c>
      <c r="E147" s="20">
        <f t="shared" si="11"/>
        <v>0.26737812596957705</v>
      </c>
      <c r="F147" s="52">
        <f t="shared" si="11"/>
        <v>0.07734629080416694</v>
      </c>
    </row>
    <row r="148" spans="1:6" s="18" customFormat="1" ht="21">
      <c r="A148" s="72"/>
      <c r="B148" s="42"/>
      <c r="C148" s="42"/>
      <c r="D148" s="42"/>
      <c r="E148" s="42"/>
      <c r="F148" s="53"/>
    </row>
    <row r="149" spans="1:6" s="18" customFormat="1" ht="21">
      <c r="A149" s="65" t="s">
        <v>58</v>
      </c>
      <c r="B149" s="3"/>
      <c r="C149" s="2"/>
      <c r="D149" s="2"/>
      <c r="E149" s="2"/>
      <c r="F149" s="51"/>
    </row>
    <row r="150" spans="1:6" s="18" customFormat="1" ht="21">
      <c r="A150" s="71" t="s">
        <v>31</v>
      </c>
      <c r="B150" s="6"/>
      <c r="C150" s="1">
        <v>0</v>
      </c>
      <c r="D150" s="1">
        <f>C154</f>
        <v>0</v>
      </c>
      <c r="E150" s="1">
        <f>D154</f>
        <v>0</v>
      </c>
      <c r="F150" s="49">
        <f>E154</f>
        <v>0</v>
      </c>
    </row>
    <row r="151" spans="1:6" s="18" customFormat="1" ht="21">
      <c r="A151" s="71" t="s">
        <v>32</v>
      </c>
      <c r="B151" s="6"/>
      <c r="C151" s="1">
        <f>C21</f>
        <v>0</v>
      </c>
      <c r="D151" s="1">
        <f>D21</f>
        <v>0</v>
      </c>
      <c r="E151" s="1">
        <f>E21</f>
        <v>0</v>
      </c>
      <c r="F151" s="49">
        <v>0</v>
      </c>
    </row>
    <row r="152" spans="1:6" s="18" customFormat="1" ht="21">
      <c r="A152" s="71" t="s">
        <v>28</v>
      </c>
      <c r="B152" s="6"/>
      <c r="C152" s="1">
        <v>0</v>
      </c>
      <c r="D152" s="1">
        <v>0</v>
      </c>
      <c r="E152" s="1">
        <f>D154</f>
        <v>0</v>
      </c>
      <c r="F152" s="49">
        <f>E154</f>
        <v>0</v>
      </c>
    </row>
    <row r="153" spans="1:6" s="18" customFormat="1" ht="21">
      <c r="A153" s="71" t="s">
        <v>64</v>
      </c>
      <c r="B153" s="6"/>
      <c r="C153" s="1">
        <f>(0.02+C14)*(C151+C150-C152)</f>
        <v>0</v>
      </c>
      <c r="D153" s="1">
        <f>(0.02+D14)*(D151+D150-D152)</f>
        <v>0</v>
      </c>
      <c r="E153" s="1">
        <f>(0.02+E14)*(E151+E150-E152)</f>
        <v>0</v>
      </c>
      <c r="F153" s="49">
        <f>(0.02+F14)*(F151+F150-F152)</f>
        <v>0</v>
      </c>
    </row>
    <row r="154" spans="1:6" s="18" customFormat="1" ht="21">
      <c r="A154" s="71" t="s">
        <v>30</v>
      </c>
      <c r="B154" s="6"/>
      <c r="C154" s="1">
        <f>C150-C152+C153+C151</f>
        <v>0</v>
      </c>
      <c r="D154" s="1">
        <f>D150-D152+D153+D151</f>
        <v>0</v>
      </c>
      <c r="E154" s="1">
        <f>E150-E152+E153+E151</f>
        <v>0</v>
      </c>
      <c r="F154" s="49">
        <f>F150-F152+F153+F151</f>
        <v>0</v>
      </c>
    </row>
    <row r="155" spans="1:6" s="18" customFormat="1" ht="21">
      <c r="A155" s="72"/>
      <c r="B155" s="2"/>
      <c r="C155" s="2"/>
      <c r="D155" s="2"/>
      <c r="E155" s="2"/>
      <c r="F155" s="51"/>
    </row>
    <row r="156" spans="1:6" s="18" customFormat="1" ht="21">
      <c r="A156" s="65" t="s">
        <v>131</v>
      </c>
      <c r="B156" s="3"/>
      <c r="C156" s="20"/>
      <c r="D156" s="20"/>
      <c r="E156" s="20"/>
      <c r="F156" s="52"/>
    </row>
    <row r="157" spans="1:6" s="18" customFormat="1" ht="21">
      <c r="A157" s="71" t="s">
        <v>48</v>
      </c>
      <c r="B157" s="2">
        <f aca="true" t="shared" si="12" ref="B157:B162">SUM(C157:F157)</f>
        <v>1320295.3775556916</v>
      </c>
      <c r="C157" s="1">
        <f>B20</f>
        <v>1320295.3775556916</v>
      </c>
      <c r="D157" s="1">
        <f>C20</f>
        <v>0</v>
      </c>
      <c r="E157" s="1">
        <f>D20</f>
        <v>0</v>
      </c>
      <c r="F157" s="49">
        <f>E20</f>
        <v>0</v>
      </c>
    </row>
    <row r="158" spans="1:6" s="18" customFormat="1" ht="21">
      <c r="A158" s="71" t="s">
        <v>96</v>
      </c>
      <c r="B158" s="2">
        <f t="shared" si="12"/>
        <v>835719.780224</v>
      </c>
      <c r="C158" s="1">
        <f>C125</f>
        <v>259239.12</v>
      </c>
      <c r="D158" s="1">
        <f>D125</f>
        <v>288387.6464</v>
      </c>
      <c r="E158" s="1">
        <f>E125</f>
        <v>223453.18867199993</v>
      </c>
      <c r="F158" s="49">
        <f>F125</f>
        <v>64639.82515199998</v>
      </c>
    </row>
    <row r="159" spans="1:6" s="18" customFormat="1" ht="21">
      <c r="A159" s="71" t="s">
        <v>87</v>
      </c>
      <c r="B159" s="2">
        <f t="shared" si="12"/>
        <v>41785.9890112</v>
      </c>
      <c r="C159" s="1">
        <f>0.05*C125</f>
        <v>12961.956</v>
      </c>
      <c r="D159" s="1">
        <f>0.05*D125</f>
        <v>14419.382320000002</v>
      </c>
      <c r="E159" s="1">
        <f>0.05*E125</f>
        <v>11172.659433599998</v>
      </c>
      <c r="F159" s="49">
        <f>0.05*F125</f>
        <v>3231.9912575999992</v>
      </c>
    </row>
    <row r="160" spans="1:6" s="18" customFormat="1" ht="21">
      <c r="A160" s="71" t="s">
        <v>97</v>
      </c>
      <c r="B160" s="2">
        <f t="shared" si="12"/>
        <v>0</v>
      </c>
      <c r="C160" s="1">
        <f>C153</f>
        <v>0</v>
      </c>
      <c r="D160" s="1">
        <f>D153</f>
        <v>0</v>
      </c>
      <c r="E160" s="1">
        <f>E153</f>
        <v>0</v>
      </c>
      <c r="F160" s="49">
        <f>F153</f>
        <v>0</v>
      </c>
    </row>
    <row r="161" spans="1:6" s="18" customFormat="1" ht="21">
      <c r="A161" s="71" t="s">
        <v>98</v>
      </c>
      <c r="B161" s="2">
        <f t="shared" si="12"/>
        <v>16714.39560448</v>
      </c>
      <c r="C161" s="1">
        <f>0.02*C158</f>
        <v>5184.7824</v>
      </c>
      <c r="D161" s="1">
        <f>0.02*D158</f>
        <v>5767.752928000001</v>
      </c>
      <c r="E161" s="1">
        <f>0.02*E158</f>
        <v>4469.063773439999</v>
      </c>
      <c r="F161" s="49">
        <f>0.02*F158</f>
        <v>1292.7965030399996</v>
      </c>
    </row>
    <row r="162" spans="1:6" s="17" customFormat="1" ht="21">
      <c r="A162" s="75" t="s">
        <v>50</v>
      </c>
      <c r="B162" s="2">
        <f t="shared" si="12"/>
        <v>2214515.5423953715</v>
      </c>
      <c r="C162" s="7">
        <f>SUM(C157:C161)</f>
        <v>1597681.2359556917</v>
      </c>
      <c r="D162" s="7">
        <f>SUM(D157:D161)</f>
        <v>308574.781648</v>
      </c>
      <c r="E162" s="7">
        <f>SUM(E157:E161)</f>
        <v>239094.91187903992</v>
      </c>
      <c r="F162" s="54">
        <f>SUM(F157:F161)</f>
        <v>69164.61291263998</v>
      </c>
    </row>
    <row r="163" spans="1:6" s="17" customFormat="1" ht="21">
      <c r="A163" s="71"/>
      <c r="B163" s="1"/>
      <c r="C163" s="1"/>
      <c r="D163" s="1"/>
      <c r="E163" s="1"/>
      <c r="F163" s="49"/>
    </row>
    <row r="164" spans="1:6" s="4" customFormat="1" ht="21">
      <c r="A164" s="65" t="s">
        <v>18</v>
      </c>
      <c r="B164" s="3"/>
      <c r="C164" s="18"/>
      <c r="D164" s="18"/>
      <c r="E164" s="2"/>
      <c r="F164" s="51"/>
    </row>
    <row r="165" spans="1:6" s="21" customFormat="1" ht="21">
      <c r="A165" s="71" t="s">
        <v>48</v>
      </c>
      <c r="B165" s="20">
        <f aca="true" t="shared" si="13" ref="B165:B170">SUM(C165:F165)</f>
        <v>0.596200546927555</v>
      </c>
      <c r="C165" s="16">
        <f aca="true" t="shared" si="14" ref="C165:F170">C157/$B$162</f>
        <v>0.596200546927555</v>
      </c>
      <c r="D165" s="16">
        <f t="shared" si="14"/>
        <v>0</v>
      </c>
      <c r="E165" s="16">
        <f t="shared" si="14"/>
        <v>0</v>
      </c>
      <c r="F165" s="48">
        <f t="shared" si="14"/>
        <v>0</v>
      </c>
    </row>
    <row r="166" spans="1:6" s="17" customFormat="1" ht="21">
      <c r="A166" s="71" t="s">
        <v>49</v>
      </c>
      <c r="B166" s="20">
        <f t="shared" si="13"/>
        <v>0.3773826664228458</v>
      </c>
      <c r="C166" s="16">
        <f t="shared" si="14"/>
        <v>0.11706358119283698</v>
      </c>
      <c r="D166" s="16">
        <f t="shared" si="14"/>
        <v>0.13022606564687292</v>
      </c>
      <c r="E166" s="16">
        <f t="shared" si="14"/>
        <v>0.10090387012154256</v>
      </c>
      <c r="F166" s="48">
        <f t="shared" si="14"/>
        <v>0.02918914946159336</v>
      </c>
    </row>
    <row r="167" spans="1:6" s="4" customFormat="1" ht="21">
      <c r="A167" s="71" t="s">
        <v>87</v>
      </c>
      <c r="B167" s="20">
        <f t="shared" si="13"/>
        <v>0.01886913332114229</v>
      </c>
      <c r="C167" s="16">
        <f t="shared" si="14"/>
        <v>0.00585317905964185</v>
      </c>
      <c r="D167" s="16">
        <f t="shared" si="14"/>
        <v>0.006511303282343646</v>
      </c>
      <c r="E167" s="16">
        <f t="shared" si="14"/>
        <v>0.005045193506077128</v>
      </c>
      <c r="F167" s="48">
        <f t="shared" si="14"/>
        <v>0.001459457473079668</v>
      </c>
    </row>
    <row r="168" spans="1:6" s="4" customFormat="1" ht="21">
      <c r="A168" s="71" t="s">
        <v>14</v>
      </c>
      <c r="B168" s="20">
        <f t="shared" si="13"/>
        <v>0</v>
      </c>
      <c r="C168" s="16">
        <f t="shared" si="14"/>
        <v>0</v>
      </c>
      <c r="D168" s="16">
        <f t="shared" si="14"/>
        <v>0</v>
      </c>
      <c r="E168" s="16">
        <f t="shared" si="14"/>
        <v>0</v>
      </c>
      <c r="F168" s="48">
        <f t="shared" si="14"/>
        <v>0</v>
      </c>
    </row>
    <row r="169" spans="1:6" s="4" customFormat="1" ht="21">
      <c r="A169" s="71" t="s">
        <v>15</v>
      </c>
      <c r="B169" s="20">
        <f t="shared" si="13"/>
        <v>0.007547653328456917</v>
      </c>
      <c r="C169" s="16">
        <f t="shared" si="14"/>
        <v>0.0023412716238567395</v>
      </c>
      <c r="D169" s="16">
        <f t="shared" si="14"/>
        <v>0.0026045213129374583</v>
      </c>
      <c r="E169" s="16">
        <f t="shared" si="14"/>
        <v>0.0020180774024308513</v>
      </c>
      <c r="F169" s="48">
        <f t="shared" si="14"/>
        <v>0.0005837829892318671</v>
      </c>
    </row>
    <row r="170" spans="1:6" s="45" customFormat="1" ht="21">
      <c r="A170" s="72" t="s">
        <v>3</v>
      </c>
      <c r="B170" s="20">
        <f t="shared" si="13"/>
        <v>1.0000000000000002</v>
      </c>
      <c r="C170" s="20">
        <f t="shared" si="14"/>
        <v>0.7214585788038906</v>
      </c>
      <c r="D170" s="20">
        <f t="shared" si="14"/>
        <v>0.13934189024215402</v>
      </c>
      <c r="E170" s="20">
        <f t="shared" si="14"/>
        <v>0.10796714103005053</v>
      </c>
      <c r="F170" s="52">
        <f t="shared" si="14"/>
        <v>0.031232389923904893</v>
      </c>
    </row>
    <row r="171" spans="1:6" s="17" customFormat="1" ht="21">
      <c r="A171" s="71"/>
      <c r="B171" s="1"/>
      <c r="C171" s="1"/>
      <c r="D171" s="1"/>
      <c r="E171" s="1"/>
      <c r="F171" s="49"/>
    </row>
    <row r="172" spans="1:6" s="4" customFormat="1" ht="21">
      <c r="A172" s="65" t="s">
        <v>91</v>
      </c>
      <c r="B172" s="27" t="s">
        <v>27</v>
      </c>
      <c r="C172" s="22"/>
      <c r="D172" s="22"/>
      <c r="E172" s="22"/>
      <c r="F172" s="55"/>
    </row>
    <row r="173" spans="1:6" s="21" customFormat="1" ht="21">
      <c r="A173" s="71" t="s">
        <v>94</v>
      </c>
      <c r="B173" s="2">
        <f>SUM(C173:F173)</f>
        <v>2151437.426687999</v>
      </c>
      <c r="C173" s="1">
        <f>C27*C26</f>
        <v>290649.6</v>
      </c>
      <c r="D173" s="1">
        <f>D27*D26</f>
        <v>374615.0399999999</v>
      </c>
      <c r="E173" s="1">
        <f>E27*E26</f>
        <v>478008.79103999987</v>
      </c>
      <c r="F173" s="49">
        <f>F27*F26</f>
        <v>1008163.9956479996</v>
      </c>
    </row>
    <row r="174" spans="1:6" s="4" customFormat="1" ht="21">
      <c r="A174" s="76" t="s">
        <v>93</v>
      </c>
      <c r="B174" s="42">
        <f>SUM(C174:F174)</f>
        <v>1</v>
      </c>
      <c r="C174" s="16">
        <f>C173/$B$173</f>
        <v>0.13509553956558082</v>
      </c>
      <c r="D174" s="16">
        <f>D173/$B$173</f>
        <v>0.17412313988452638</v>
      </c>
      <c r="E174" s="16">
        <f>E173/$B$173</f>
        <v>0.22218112649265562</v>
      </c>
      <c r="F174" s="48">
        <f>F173/$B$173</f>
        <v>0.46860019405723724</v>
      </c>
    </row>
    <row r="175" spans="1:6" s="18" customFormat="1" ht="21">
      <c r="A175" s="66"/>
      <c r="B175" s="12"/>
      <c r="C175" s="22"/>
      <c r="D175" s="22"/>
      <c r="E175" s="22"/>
      <c r="F175" s="55"/>
    </row>
    <row r="176" spans="1:6" s="4" customFormat="1" ht="21">
      <c r="A176" s="65" t="s">
        <v>95</v>
      </c>
      <c r="B176" s="3"/>
      <c r="C176" s="1"/>
      <c r="D176" s="1"/>
      <c r="E176" s="1"/>
      <c r="F176" s="49"/>
    </row>
    <row r="177" spans="1:6" s="4" customFormat="1" ht="21">
      <c r="A177" s="71" t="s">
        <v>48</v>
      </c>
      <c r="B177" s="2">
        <f>SUM(C177:F177)</f>
        <v>1320295.3775556916</v>
      </c>
      <c r="C177" s="1">
        <f>B20</f>
        <v>1320295.3775556916</v>
      </c>
      <c r="D177" s="1">
        <f>C20</f>
        <v>0</v>
      </c>
      <c r="E177" s="1">
        <f>D20</f>
        <v>0</v>
      </c>
      <c r="F177" s="49">
        <f>E20</f>
        <v>0</v>
      </c>
    </row>
    <row r="178" spans="1:6" s="4" customFormat="1" ht="21">
      <c r="A178" s="71" t="s">
        <v>49</v>
      </c>
      <c r="B178" s="2">
        <f>SUM(C178:F178)</f>
        <v>835719.780224</v>
      </c>
      <c r="C178" s="1">
        <f>C158</f>
        <v>259239.12</v>
      </c>
      <c r="D178" s="1">
        <f>D158</f>
        <v>288387.6464</v>
      </c>
      <c r="E178" s="1">
        <f>E158</f>
        <v>223453.18867199993</v>
      </c>
      <c r="F178" s="49">
        <f>F158</f>
        <v>64639.82515199998</v>
      </c>
    </row>
    <row r="179" spans="1:6" s="4" customFormat="1" ht="21">
      <c r="A179" s="72" t="s">
        <v>3</v>
      </c>
      <c r="B179" s="2">
        <f>SUM(C179:F179)</f>
        <v>2156015.1577796917</v>
      </c>
      <c r="C179" s="2">
        <f>SUM(C177:C178)</f>
        <v>1579534.4975556917</v>
      </c>
      <c r="D179" s="2">
        <f>SUM(D177:D178)</f>
        <v>288387.6464</v>
      </c>
      <c r="E179" s="2">
        <f>SUM(E177:E178)</f>
        <v>223453.18867199993</v>
      </c>
      <c r="F179" s="51">
        <f>SUM(F177:F178)</f>
        <v>64639.82515199998</v>
      </c>
    </row>
    <row r="180" spans="1:6" ht="21">
      <c r="A180" s="72"/>
      <c r="B180" s="2"/>
      <c r="C180" s="2"/>
      <c r="D180" s="2"/>
      <c r="E180" s="2"/>
      <c r="F180" s="51"/>
    </row>
    <row r="181" spans="1:6" ht="21">
      <c r="A181" s="65" t="s">
        <v>65</v>
      </c>
      <c r="B181" s="3"/>
      <c r="C181" s="1"/>
      <c r="D181" s="1"/>
      <c r="E181" s="1"/>
      <c r="F181" s="49"/>
    </row>
    <row r="182" spans="1:6" ht="21">
      <c r="A182" s="71" t="s">
        <v>87</v>
      </c>
      <c r="B182" s="2">
        <f>SUM(C182:F182)</f>
        <v>41785.9890112</v>
      </c>
      <c r="C182" s="1">
        <f aca="true" t="shared" si="15" ref="C182:F184">C159</f>
        <v>12961.956</v>
      </c>
      <c r="D182" s="1">
        <f t="shared" si="15"/>
        <v>14419.382320000002</v>
      </c>
      <c r="E182" s="1">
        <f t="shared" si="15"/>
        <v>11172.659433599998</v>
      </c>
      <c r="F182" s="49">
        <f t="shared" si="15"/>
        <v>3231.9912575999992</v>
      </c>
    </row>
    <row r="183" spans="1:6" ht="21">
      <c r="A183" s="71" t="s">
        <v>14</v>
      </c>
      <c r="B183" s="2">
        <f>SUM(C183:F183)</f>
        <v>0</v>
      </c>
      <c r="C183" s="1">
        <f t="shared" si="15"/>
        <v>0</v>
      </c>
      <c r="D183" s="1">
        <f t="shared" si="15"/>
        <v>0</v>
      </c>
      <c r="E183" s="1">
        <f t="shared" si="15"/>
        <v>0</v>
      </c>
      <c r="F183" s="49">
        <f t="shared" si="15"/>
        <v>0</v>
      </c>
    </row>
    <row r="184" spans="1:6" ht="21">
      <c r="A184" s="71" t="s">
        <v>15</v>
      </c>
      <c r="B184" s="2">
        <f>SUM(C184:F184)</f>
        <v>16714.39560448</v>
      </c>
      <c r="C184" s="1">
        <f t="shared" si="15"/>
        <v>5184.7824</v>
      </c>
      <c r="D184" s="1">
        <f t="shared" si="15"/>
        <v>5767.752928000001</v>
      </c>
      <c r="E184" s="1">
        <f t="shared" si="15"/>
        <v>4469.063773439999</v>
      </c>
      <c r="F184" s="49">
        <f t="shared" si="15"/>
        <v>1292.7965030399996</v>
      </c>
    </row>
    <row r="185" spans="1:6" ht="21">
      <c r="A185" s="72" t="s">
        <v>3</v>
      </c>
      <c r="B185" s="2">
        <f>SUM(C185:F185)</f>
        <v>58500.38461568001</v>
      </c>
      <c r="C185" s="2">
        <f>SUM(C182:C184)</f>
        <v>18146.738400000002</v>
      </c>
      <c r="D185" s="2">
        <f>SUM(D182:D184)</f>
        <v>20187.135248000002</v>
      </c>
      <c r="E185" s="2">
        <f>SUM(E182:E184)</f>
        <v>15641.723207039997</v>
      </c>
      <c r="F185" s="51">
        <f>SUM(F182:F184)</f>
        <v>4524.787760639999</v>
      </c>
    </row>
    <row r="186" spans="1:6" s="4" customFormat="1" ht="21">
      <c r="A186" s="72"/>
      <c r="B186" s="2"/>
      <c r="C186" s="2"/>
      <c r="D186" s="2"/>
      <c r="E186" s="2"/>
      <c r="F186" s="51"/>
    </row>
    <row r="187" spans="1:6" s="4" customFormat="1" ht="21">
      <c r="A187" s="66" t="s">
        <v>125</v>
      </c>
      <c r="B187" s="27"/>
      <c r="C187" s="16"/>
      <c r="D187" s="16"/>
      <c r="E187" s="16"/>
      <c r="F187" s="48"/>
    </row>
    <row r="188" spans="1:6" s="4" customFormat="1" ht="21">
      <c r="A188" s="71" t="s">
        <v>100</v>
      </c>
      <c r="B188" s="2">
        <f>SUM(C188:F188)</f>
        <v>-4577.731091692229</v>
      </c>
      <c r="C188" s="1">
        <f>C173-C179</f>
        <v>-1288884.8975556917</v>
      </c>
      <c r="D188" s="1">
        <f>D173-D179</f>
        <v>86227.3935999999</v>
      </c>
      <c r="E188" s="1">
        <f>E173-E179</f>
        <v>254555.60236799993</v>
      </c>
      <c r="F188" s="49">
        <f>F173-F179</f>
        <v>943524.1704959996</v>
      </c>
    </row>
    <row r="189" spans="1:6" s="4" customFormat="1" ht="21">
      <c r="A189" s="77"/>
      <c r="B189" s="17"/>
      <c r="C189" s="16"/>
      <c r="D189" s="16"/>
      <c r="E189" s="16"/>
      <c r="F189" s="48"/>
    </row>
    <row r="190" spans="1:6" s="4" customFormat="1" ht="21">
      <c r="A190" s="65" t="s">
        <v>24</v>
      </c>
      <c r="B190" s="3"/>
      <c r="C190" s="1"/>
      <c r="D190" s="1"/>
      <c r="E190" s="1"/>
      <c r="F190" s="49"/>
    </row>
    <row r="191" spans="1:6" s="4" customFormat="1" ht="21">
      <c r="A191" s="71" t="s">
        <v>23</v>
      </c>
      <c r="B191" s="2">
        <f aca="true" t="shared" si="16" ref="B191:B200">SUM(C191:F191)</f>
        <v>2151437.426687999</v>
      </c>
      <c r="C191" s="1">
        <f>C173</f>
        <v>290649.6</v>
      </c>
      <c r="D191" s="1">
        <f>D173</f>
        <v>374615.0399999999</v>
      </c>
      <c r="E191" s="1">
        <f>E173</f>
        <v>478008.79103999987</v>
      </c>
      <c r="F191" s="49">
        <f>F173</f>
        <v>1008163.9956479996</v>
      </c>
    </row>
    <row r="192" spans="1:6" s="4" customFormat="1" ht="21">
      <c r="A192" s="71" t="s">
        <v>47</v>
      </c>
      <c r="B192" s="2">
        <f t="shared" si="16"/>
        <v>2156015.1577796917</v>
      </c>
      <c r="C192" s="1">
        <f>C179</f>
        <v>1579534.4975556917</v>
      </c>
      <c r="D192" s="1">
        <f>D179</f>
        <v>288387.6464</v>
      </c>
      <c r="E192" s="1">
        <f>E179</f>
        <v>223453.18867199993</v>
      </c>
      <c r="F192" s="49">
        <f>F179</f>
        <v>64639.82515199998</v>
      </c>
    </row>
    <row r="193" spans="1:6" s="4" customFormat="1" ht="21">
      <c r="A193" s="71" t="s">
        <v>20</v>
      </c>
      <c r="B193" s="2">
        <f t="shared" si="16"/>
        <v>-4577.731091692229</v>
      </c>
      <c r="C193" s="1">
        <f>C191-C192</f>
        <v>-1288884.8975556917</v>
      </c>
      <c r="D193" s="1">
        <f>D191-D192</f>
        <v>86227.3935999999</v>
      </c>
      <c r="E193" s="1">
        <f>E191-E192</f>
        <v>254555.60236799993</v>
      </c>
      <c r="F193" s="49">
        <f>F191-F192</f>
        <v>943524.1704959996</v>
      </c>
    </row>
    <row r="194" spans="1:6" ht="21">
      <c r="A194" s="71" t="s">
        <v>130</v>
      </c>
      <c r="B194" s="2">
        <f t="shared" si="16"/>
        <v>41785.9890112</v>
      </c>
      <c r="C194" s="1">
        <f>C182</f>
        <v>12961.956</v>
      </c>
      <c r="D194" s="1">
        <f>D182</f>
        <v>14419.382320000002</v>
      </c>
      <c r="E194" s="1">
        <f>E182</f>
        <v>11172.659433599998</v>
      </c>
      <c r="F194" s="49">
        <f>F182</f>
        <v>3231.9912575999992</v>
      </c>
    </row>
    <row r="195" spans="1:6" ht="21">
      <c r="A195" s="71" t="s">
        <v>26</v>
      </c>
      <c r="B195" s="2">
        <f t="shared" si="16"/>
        <v>-46363.72010289214</v>
      </c>
      <c r="C195" s="1">
        <f>C193-C194</f>
        <v>-1301846.8535556917</v>
      </c>
      <c r="D195" s="1">
        <f>D193-D194</f>
        <v>71808.01127999989</v>
      </c>
      <c r="E195" s="1">
        <f>E193-E194</f>
        <v>243382.94293439994</v>
      </c>
      <c r="F195" s="49">
        <f>F193-F194</f>
        <v>940292.1792383996</v>
      </c>
    </row>
    <row r="196" spans="1:6" ht="21">
      <c r="A196" s="71" t="s">
        <v>25</v>
      </c>
      <c r="B196" s="2">
        <f t="shared" si="16"/>
        <v>0</v>
      </c>
      <c r="C196" s="1">
        <f aca="true" t="shared" si="17" ref="C196:F197">C183</f>
        <v>0</v>
      </c>
      <c r="D196" s="1">
        <f t="shared" si="17"/>
        <v>0</v>
      </c>
      <c r="E196" s="1">
        <f t="shared" si="17"/>
        <v>0</v>
      </c>
      <c r="F196" s="49">
        <f t="shared" si="17"/>
        <v>0</v>
      </c>
    </row>
    <row r="197" spans="1:6" ht="21">
      <c r="A197" s="71" t="s">
        <v>101</v>
      </c>
      <c r="B197" s="2">
        <f t="shared" si="16"/>
        <v>16714.39560448</v>
      </c>
      <c r="C197" s="1">
        <f t="shared" si="17"/>
        <v>5184.7824</v>
      </c>
      <c r="D197" s="1">
        <f t="shared" si="17"/>
        <v>5767.752928000001</v>
      </c>
      <c r="E197" s="1">
        <f t="shared" si="17"/>
        <v>4469.063773439999</v>
      </c>
      <c r="F197" s="49">
        <f t="shared" si="17"/>
        <v>1292.7965030399996</v>
      </c>
    </row>
    <row r="198" spans="1:6" ht="21">
      <c r="A198" s="71" t="s">
        <v>51</v>
      </c>
      <c r="B198" s="2">
        <f t="shared" si="16"/>
        <v>-63078.1157073722</v>
      </c>
      <c r="C198" s="1">
        <f>C195-C196-C197</f>
        <v>-1307031.6359556916</v>
      </c>
      <c r="D198" s="1">
        <f>D195-D196-D197</f>
        <v>66040.25835199989</v>
      </c>
      <c r="E198" s="1">
        <f>E195-E196-E197</f>
        <v>238913.87916095994</v>
      </c>
      <c r="F198" s="49">
        <f>F195-F196-F197</f>
        <v>938999.3827353596</v>
      </c>
    </row>
    <row r="199" spans="1:6" ht="21">
      <c r="A199" s="71" t="s">
        <v>52</v>
      </c>
      <c r="B199" s="2">
        <f t="shared" si="16"/>
        <v>0</v>
      </c>
      <c r="C199" s="1">
        <v>0</v>
      </c>
      <c r="D199" s="1">
        <v>0</v>
      </c>
      <c r="E199" s="1">
        <v>0</v>
      </c>
      <c r="F199" s="49">
        <v>0</v>
      </c>
    </row>
    <row r="200" spans="1:6" ht="21">
      <c r="A200" s="72" t="s">
        <v>19</v>
      </c>
      <c r="B200" s="2">
        <f t="shared" si="16"/>
        <v>-63078.1157073722</v>
      </c>
      <c r="C200" s="2">
        <f>C198-C199</f>
        <v>-1307031.6359556916</v>
      </c>
      <c r="D200" s="2">
        <f>D198-D199</f>
        <v>66040.25835199989</v>
      </c>
      <c r="E200" s="2">
        <f>E198-E199</f>
        <v>238913.87916095994</v>
      </c>
      <c r="F200" s="51">
        <f>F198-F199</f>
        <v>938999.3827353596</v>
      </c>
    </row>
    <row r="201" spans="1:6" ht="21">
      <c r="A201" s="72"/>
      <c r="B201" s="2"/>
      <c r="C201" s="2"/>
      <c r="D201" s="2"/>
      <c r="E201" s="2"/>
      <c r="F201" s="51"/>
    </row>
    <row r="202" spans="1:6" ht="21">
      <c r="A202" s="65" t="s">
        <v>53</v>
      </c>
      <c r="B202" s="3"/>
      <c r="C202" s="1"/>
      <c r="D202" s="1"/>
      <c r="E202" s="1"/>
      <c r="F202" s="49"/>
    </row>
    <row r="203" spans="1:6" ht="21">
      <c r="A203" s="71" t="s">
        <v>19</v>
      </c>
      <c r="B203" s="2">
        <f>SUM(C203:F203)</f>
        <v>-63078.1157073722</v>
      </c>
      <c r="C203" s="1">
        <f>C200</f>
        <v>-1307031.6359556916</v>
      </c>
      <c r="D203" s="1">
        <f>D200</f>
        <v>66040.25835199989</v>
      </c>
      <c r="E203" s="1">
        <f>E200</f>
        <v>238913.87916095994</v>
      </c>
      <c r="F203" s="49">
        <f>F200</f>
        <v>938999.3827353596</v>
      </c>
    </row>
    <row r="204" spans="1:6" s="28" customFormat="1" ht="21">
      <c r="A204" s="71" t="s">
        <v>54</v>
      </c>
      <c r="B204" s="2"/>
      <c r="C204" s="1">
        <v>0</v>
      </c>
      <c r="D204" s="1">
        <f>C208</f>
        <v>-1307031.6359556916</v>
      </c>
      <c r="E204" s="1">
        <f>D208</f>
        <v>-1240991.3776036918</v>
      </c>
      <c r="F204" s="49">
        <f>E208</f>
        <v>-1002077.4984427318</v>
      </c>
    </row>
    <row r="205" spans="1:6" ht="21">
      <c r="A205" s="71" t="s">
        <v>55</v>
      </c>
      <c r="B205" s="2"/>
      <c r="C205" s="1">
        <f>C203+C204</f>
        <v>-1307031.6359556916</v>
      </c>
      <c r="D205" s="1">
        <f>D203+D204</f>
        <v>-1240991.3776036918</v>
      </c>
      <c r="E205" s="1">
        <f>E203+E204</f>
        <v>-1002077.4984427318</v>
      </c>
      <c r="F205" s="49">
        <f>F203+F204</f>
        <v>-63078.1157073722</v>
      </c>
    </row>
    <row r="206" spans="1:6" s="4" customFormat="1" ht="21">
      <c r="A206" s="71" t="s">
        <v>56</v>
      </c>
      <c r="B206" s="2">
        <f>SUM(C206:F206)</f>
        <v>0</v>
      </c>
      <c r="C206" s="1">
        <f>IF(C205&lt;0,0,0.05*C205)</f>
        <v>0</v>
      </c>
      <c r="D206" s="1">
        <f>IF(D205&lt;0,0,0.05*D205)</f>
        <v>0</v>
      </c>
      <c r="E206" s="1">
        <f>IF(E205&lt;0,0,0.05*E205)</f>
        <v>0</v>
      </c>
      <c r="F206" s="49">
        <f>IF(F205&lt;0,0,0.05*F205)</f>
        <v>0</v>
      </c>
    </row>
    <row r="207" spans="1:6" s="4" customFormat="1" ht="21">
      <c r="A207" s="71" t="s">
        <v>22</v>
      </c>
      <c r="B207" s="2">
        <f>SUM(C207:F207)</f>
        <v>0</v>
      </c>
      <c r="C207" s="1">
        <v>0</v>
      </c>
      <c r="D207" s="1">
        <v>0</v>
      </c>
      <c r="E207" s="1">
        <v>0</v>
      </c>
      <c r="F207" s="49">
        <v>0</v>
      </c>
    </row>
    <row r="208" spans="1:6" s="4" customFormat="1" ht="21">
      <c r="A208" s="72" t="s">
        <v>57</v>
      </c>
      <c r="B208" s="2"/>
      <c r="C208" s="2">
        <f>C205-C206-C207</f>
        <v>-1307031.6359556916</v>
      </c>
      <c r="D208" s="2">
        <f>D205-D206-D207</f>
        <v>-1240991.3776036918</v>
      </c>
      <c r="E208" s="2">
        <f>E205-E206-E207</f>
        <v>-1002077.4984427318</v>
      </c>
      <c r="F208" s="51">
        <f>F205-F206-F207</f>
        <v>-63078.1157073722</v>
      </c>
    </row>
    <row r="209" spans="1:6" s="4" customFormat="1" ht="21">
      <c r="A209" s="72"/>
      <c r="B209" s="2"/>
      <c r="C209" s="2"/>
      <c r="D209" s="2"/>
      <c r="E209" s="2"/>
      <c r="F209" s="51"/>
    </row>
    <row r="210" spans="1:6" s="4" customFormat="1" ht="21">
      <c r="A210" s="65" t="s">
        <v>5</v>
      </c>
      <c r="B210" s="3"/>
      <c r="C210" s="1"/>
      <c r="D210" s="1"/>
      <c r="E210" s="1"/>
      <c r="F210" s="49"/>
    </row>
    <row r="211" spans="1:6" s="4" customFormat="1" ht="21">
      <c r="A211" s="71" t="s">
        <v>118</v>
      </c>
      <c r="B211" s="1"/>
      <c r="C211" s="4">
        <f>C194+C196+C197</f>
        <v>18146.738400000002</v>
      </c>
      <c r="D211" s="4">
        <f>D194+D196+D197</f>
        <v>20187.135248000002</v>
      </c>
      <c r="E211" s="4">
        <f>E194+E196+E197</f>
        <v>15641.723207039997</v>
      </c>
      <c r="F211" s="56">
        <f>F194+F196+F197</f>
        <v>4524.787760639999</v>
      </c>
    </row>
    <row r="212" spans="1:6" s="4" customFormat="1" ht="21">
      <c r="A212" s="71" t="s">
        <v>119</v>
      </c>
      <c r="B212" s="1"/>
      <c r="C212" s="1">
        <f>C192</f>
        <v>1579534.4975556917</v>
      </c>
      <c r="D212" s="1">
        <f>D192</f>
        <v>288387.6464</v>
      </c>
      <c r="E212" s="1">
        <f>E192</f>
        <v>223453.18867199993</v>
      </c>
      <c r="F212" s="49">
        <f>F192</f>
        <v>64639.82515199998</v>
      </c>
    </row>
    <row r="213" spans="1:6" s="4" customFormat="1" ht="21">
      <c r="A213" s="72" t="s">
        <v>4</v>
      </c>
      <c r="B213" s="2"/>
      <c r="C213" s="2">
        <f>C211+C212</f>
        <v>1597681.2359556917</v>
      </c>
      <c r="D213" s="2">
        <f>D211+D212</f>
        <v>308574.781648</v>
      </c>
      <c r="E213" s="2">
        <f>E211+E212</f>
        <v>239094.91187903992</v>
      </c>
      <c r="F213" s="51">
        <f>F211+F212</f>
        <v>69164.61291263998</v>
      </c>
    </row>
    <row r="214" spans="1:6" ht="21">
      <c r="A214" s="71"/>
      <c r="B214" s="1"/>
      <c r="C214" s="1"/>
      <c r="D214" s="1"/>
      <c r="E214" s="1"/>
      <c r="F214" s="49"/>
    </row>
    <row r="215" spans="1:6" ht="21">
      <c r="A215" s="65" t="s">
        <v>102</v>
      </c>
      <c r="B215" s="3"/>
      <c r="C215" s="1"/>
      <c r="D215" s="1"/>
      <c r="E215" s="1"/>
      <c r="F215" s="49"/>
    </row>
    <row r="216" spans="1:6" ht="21">
      <c r="A216" s="78" t="s">
        <v>6</v>
      </c>
      <c r="B216" s="24">
        <f>$B$162/(B200+B196)</f>
        <v>-35.107509435900155</v>
      </c>
      <c r="C216" s="24">
        <f>$B$162/(C200+C196)</f>
        <v>-1.6943090599150912</v>
      </c>
      <c r="D216" s="24">
        <f>$B$162/(D200+D196)</f>
        <v>33.532811616087656</v>
      </c>
      <c r="E216" s="24">
        <f>$B$162/(E200+E196)</f>
        <v>9.26909541702857</v>
      </c>
      <c r="F216" s="50">
        <f>$B$162/(F200+F196)</f>
        <v>2.358378059785683</v>
      </c>
    </row>
    <row r="217" spans="1:6" ht="21">
      <c r="A217" s="71" t="s">
        <v>139</v>
      </c>
      <c r="B217" s="1">
        <f>B200+B196</f>
        <v>-63078.1157073722</v>
      </c>
      <c r="C217" s="1">
        <f>C200+C196</f>
        <v>-1307031.6359556916</v>
      </c>
      <c r="D217" s="1">
        <f>D200+D196</f>
        <v>66040.25835199989</v>
      </c>
      <c r="E217" s="1">
        <f>E200+E196</f>
        <v>238913.87916095994</v>
      </c>
      <c r="F217" s="49">
        <f>F200+F196</f>
        <v>938999.3827353596</v>
      </c>
    </row>
    <row r="218" spans="1:6" ht="21">
      <c r="A218" s="71" t="s">
        <v>7</v>
      </c>
      <c r="B218" s="1"/>
      <c r="C218" s="1">
        <f>B218+C217</f>
        <v>-1307031.6359556916</v>
      </c>
      <c r="D218" s="1">
        <f>C218+D217</f>
        <v>-1240991.3776036918</v>
      </c>
      <c r="E218" s="1">
        <f>D218+E217</f>
        <v>-1002077.4984427318</v>
      </c>
      <c r="F218" s="49">
        <f>E218+F217</f>
        <v>-63078.1157073722</v>
      </c>
    </row>
    <row r="219" spans="1:6" ht="21">
      <c r="A219" s="71"/>
      <c r="B219" s="1"/>
      <c r="C219" s="1"/>
      <c r="D219" s="1"/>
      <c r="E219" s="1"/>
      <c r="F219" s="49"/>
    </row>
    <row r="220" spans="1:6" ht="21">
      <c r="A220" s="78" t="s">
        <v>111</v>
      </c>
      <c r="B220" s="24">
        <f>$B$162/B200</f>
        <v>-35.107509435900155</v>
      </c>
      <c r="C220" s="24">
        <f>$B$162/C200</f>
        <v>-1.6943090599150912</v>
      </c>
      <c r="D220" s="24">
        <f>$B$162/D200</f>
        <v>33.532811616087656</v>
      </c>
      <c r="E220" s="24">
        <f>$B$162/E200</f>
        <v>9.26909541702857</v>
      </c>
      <c r="F220" s="50">
        <f>$B$162/F200</f>
        <v>2.358378059785683</v>
      </c>
    </row>
    <row r="221" spans="1:6" ht="21">
      <c r="A221" s="71" t="s">
        <v>138</v>
      </c>
      <c r="B221" s="1">
        <f>B200</f>
        <v>-63078.1157073722</v>
      </c>
      <c r="C221" s="1">
        <f>C200</f>
        <v>-1307031.6359556916</v>
      </c>
      <c r="D221" s="1">
        <f>D200</f>
        <v>66040.25835199989</v>
      </c>
      <c r="E221" s="1">
        <f>E200</f>
        <v>238913.87916095994</v>
      </c>
      <c r="F221" s="49">
        <f>F200</f>
        <v>938999.3827353596</v>
      </c>
    </row>
    <row r="222" spans="1:6" s="28" customFormat="1" ht="21">
      <c r="A222" s="71" t="s">
        <v>112</v>
      </c>
      <c r="B222" s="1"/>
      <c r="C222" s="1">
        <f>B222+C221</f>
        <v>-1307031.6359556916</v>
      </c>
      <c r="D222" s="1">
        <f>C222+D221</f>
        <v>-1240991.3776036918</v>
      </c>
      <c r="E222" s="1">
        <f>D222+E221</f>
        <v>-1002077.4984427318</v>
      </c>
      <c r="F222" s="49">
        <f>E222+F221</f>
        <v>-63078.1157073722</v>
      </c>
    </row>
    <row r="223" spans="1:6" s="19" customFormat="1" ht="21">
      <c r="A223" s="71"/>
      <c r="B223" s="1"/>
      <c r="C223" s="1"/>
      <c r="D223" s="1"/>
      <c r="E223" s="1"/>
      <c r="F223" s="49"/>
    </row>
    <row r="224" spans="1:6" ht="21">
      <c r="A224" s="65" t="s">
        <v>62</v>
      </c>
      <c r="B224" s="1" t="s">
        <v>121</v>
      </c>
      <c r="D224" s="1"/>
      <c r="E224" s="1"/>
      <c r="F224" s="49"/>
    </row>
    <row r="225" spans="1:6" ht="21">
      <c r="A225" s="71" t="s">
        <v>152</v>
      </c>
      <c r="B225" s="2">
        <f>-C234-C235</f>
        <v>-1320295.3775556916</v>
      </c>
      <c r="C225" s="1">
        <f>C232-C234-C235-C244</f>
        <v>-1029645.7775556917</v>
      </c>
      <c r="D225" s="1">
        <f>D232-D234-D235-D244</f>
        <v>374615.0399999999</v>
      </c>
      <c r="E225" s="1">
        <f>E232-E234-E235-E244</f>
        <v>478008.79103999987</v>
      </c>
      <c r="F225" s="49">
        <f>F232-F234-F235-F244</f>
        <v>1008163.9956479996</v>
      </c>
    </row>
    <row r="226" spans="1:6" ht="21">
      <c r="A226" s="70" t="s">
        <v>8</v>
      </c>
      <c r="B226" s="16"/>
      <c r="C226" s="16">
        <f>1/(1+B228)^1</f>
        <v>0.7691455153563741</v>
      </c>
      <c r="D226" s="16">
        <f>$C226*C226</f>
        <v>0.5915848237928223</v>
      </c>
      <c r="E226" s="16">
        <f>$C226*D226</f>
        <v>0.45501481417314005</v>
      </c>
      <c r="F226" s="48">
        <f>$C226*E226</f>
        <v>0.3499726037419846</v>
      </c>
    </row>
    <row r="227" spans="1:6" ht="21">
      <c r="A227" s="71" t="s">
        <v>9</v>
      </c>
      <c r="B227" s="29">
        <f>SUM(C227:F227)</f>
        <v>0</v>
      </c>
      <c r="C227" s="1">
        <f>C225*C226</f>
        <v>-791947.432212587</v>
      </c>
      <c r="D227" s="1">
        <f>D225*D226</f>
        <v>221616.57242854103</v>
      </c>
      <c r="E227" s="1">
        <f>E225*E226</f>
        <v>217501.08122819287</v>
      </c>
      <c r="F227" s="49">
        <f>F225*F226</f>
        <v>352829.77855585323</v>
      </c>
    </row>
    <row r="228" spans="1:6" ht="21">
      <c r="A228" s="70" t="s">
        <v>10</v>
      </c>
      <c r="B228" s="16">
        <f>IRR(C225:F225)</f>
        <v>0.30014409501778394</v>
      </c>
      <c r="D228" s="16"/>
      <c r="E228" s="16"/>
      <c r="F228" s="48"/>
    </row>
    <row r="229" spans="1:6" ht="21">
      <c r="A229" s="71"/>
      <c r="B229" s="1"/>
      <c r="C229" s="1"/>
      <c r="D229" s="1"/>
      <c r="E229" s="1"/>
      <c r="F229" s="49"/>
    </row>
    <row r="230" spans="1:6" ht="21">
      <c r="A230" s="65" t="s">
        <v>11</v>
      </c>
      <c r="B230" s="3"/>
      <c r="C230" s="1"/>
      <c r="D230" s="1"/>
      <c r="E230" s="1"/>
      <c r="F230" s="49"/>
    </row>
    <row r="231" spans="1:6" ht="21">
      <c r="A231" s="71" t="s">
        <v>17</v>
      </c>
      <c r="B231" s="1" t="s">
        <v>27</v>
      </c>
      <c r="C231" s="1">
        <v>0</v>
      </c>
      <c r="D231" s="1">
        <f>C248</f>
        <v>13263.741600000067</v>
      </c>
      <c r="E231" s="1">
        <f>D248</f>
        <v>79303.99995199998</v>
      </c>
      <c r="F231" s="49">
        <f>E248</f>
        <v>318217.87911295996</v>
      </c>
    </row>
    <row r="232" spans="1:6" ht="21">
      <c r="A232" s="71" t="s">
        <v>63</v>
      </c>
      <c r="B232" s="44">
        <f>SUM(C232:F232)</f>
        <v>2151437.426687999</v>
      </c>
      <c r="C232" s="1">
        <f>C173</f>
        <v>290649.6</v>
      </c>
      <c r="D232" s="1">
        <f>D173</f>
        <v>374615.0399999999</v>
      </c>
      <c r="E232" s="1">
        <f>E173</f>
        <v>478008.79103999987</v>
      </c>
      <c r="F232" s="49">
        <f>F173</f>
        <v>1008163.9956479996</v>
      </c>
    </row>
    <row r="233" spans="1:6" ht="21">
      <c r="A233" s="71" t="s">
        <v>16</v>
      </c>
      <c r="B233" s="44">
        <f>SUM(C233:F233)</f>
        <v>0</v>
      </c>
      <c r="C233" s="1">
        <v>0</v>
      </c>
      <c r="D233" s="1">
        <v>0</v>
      </c>
      <c r="E233" s="1">
        <v>0</v>
      </c>
      <c r="F233" s="49">
        <v>0</v>
      </c>
    </row>
    <row r="234" spans="1:6" ht="21">
      <c r="A234" s="71" t="s">
        <v>103</v>
      </c>
      <c r="B234" s="44">
        <f>SUM(C234:F234)</f>
        <v>1320295.3775556916</v>
      </c>
      <c r="C234" s="1">
        <f>C157</f>
        <v>1320295.3775556916</v>
      </c>
      <c r="D234" s="1">
        <v>0</v>
      </c>
      <c r="E234" s="1">
        <v>0</v>
      </c>
      <c r="F234" s="49">
        <v>0</v>
      </c>
    </row>
    <row r="235" spans="1:6" ht="21">
      <c r="A235" s="71" t="s">
        <v>120</v>
      </c>
      <c r="B235" s="44">
        <f>SUM(C235:F235)</f>
        <v>0</v>
      </c>
      <c r="C235" s="1">
        <f>C22</f>
        <v>0</v>
      </c>
      <c r="D235" s="1">
        <f>D22</f>
        <v>0</v>
      </c>
      <c r="E235" s="1">
        <f>E22</f>
        <v>0</v>
      </c>
      <c r="F235" s="49">
        <f>F22</f>
        <v>0</v>
      </c>
    </row>
    <row r="236" spans="1:6" ht="21">
      <c r="A236" s="71" t="s">
        <v>29</v>
      </c>
      <c r="B236" s="44">
        <f>SUM(C236:F236)</f>
        <v>0</v>
      </c>
      <c r="C236" s="1">
        <f>C151</f>
        <v>0</v>
      </c>
      <c r="D236" s="1">
        <f>D151</f>
        <v>0</v>
      </c>
      <c r="E236" s="1">
        <f>E151</f>
        <v>0</v>
      </c>
      <c r="F236" s="49">
        <f>F151</f>
        <v>0</v>
      </c>
    </row>
    <row r="237" spans="1:6" ht="21">
      <c r="A237" s="72" t="s">
        <v>12</v>
      </c>
      <c r="B237" s="2"/>
      <c r="C237" s="2">
        <f>SUM(C231:C236)</f>
        <v>1610944.9775556917</v>
      </c>
      <c r="D237" s="2">
        <f>SUM(D231:D236)</f>
        <v>387878.7816</v>
      </c>
      <c r="E237" s="2">
        <f>SUM(E231:E236)</f>
        <v>557312.7909919999</v>
      </c>
      <c r="F237" s="51">
        <f>SUM(F231:F236)</f>
        <v>1326381.8747609595</v>
      </c>
    </row>
    <row r="238" spans="1:6" ht="21">
      <c r="A238" s="72"/>
      <c r="B238" s="2"/>
      <c r="C238" s="2"/>
      <c r="D238" s="2"/>
      <c r="E238" s="2"/>
      <c r="F238" s="51"/>
    </row>
    <row r="239" spans="1:6" ht="21">
      <c r="A239" s="71" t="s">
        <v>122</v>
      </c>
      <c r="B239" s="2"/>
      <c r="C239" s="1">
        <f aca="true" t="shared" si="18" ref="C239:F243">C157</f>
        <v>1320295.3775556916</v>
      </c>
      <c r="D239" s="1">
        <f t="shared" si="18"/>
        <v>0</v>
      </c>
      <c r="E239" s="1">
        <f t="shared" si="18"/>
        <v>0</v>
      </c>
      <c r="F239" s="49">
        <f t="shared" si="18"/>
        <v>0</v>
      </c>
    </row>
    <row r="240" spans="1:6" ht="21">
      <c r="A240" s="71" t="s">
        <v>96</v>
      </c>
      <c r="B240" s="1"/>
      <c r="C240" s="1">
        <f t="shared" si="18"/>
        <v>259239.12</v>
      </c>
      <c r="D240" s="1">
        <f t="shared" si="18"/>
        <v>288387.6464</v>
      </c>
      <c r="E240" s="1">
        <f t="shared" si="18"/>
        <v>223453.18867199993</v>
      </c>
      <c r="F240" s="49">
        <f t="shared" si="18"/>
        <v>64639.82515199998</v>
      </c>
    </row>
    <row r="241" spans="1:6" ht="21">
      <c r="A241" s="71" t="s">
        <v>123</v>
      </c>
      <c r="B241" s="1"/>
      <c r="C241" s="1">
        <f t="shared" si="18"/>
        <v>12961.956</v>
      </c>
      <c r="D241" s="1">
        <f t="shared" si="18"/>
        <v>14419.382320000002</v>
      </c>
      <c r="E241" s="1">
        <f t="shared" si="18"/>
        <v>11172.659433599998</v>
      </c>
      <c r="F241" s="49">
        <f t="shared" si="18"/>
        <v>3231.9912575999992</v>
      </c>
    </row>
    <row r="242" spans="1:6" ht="21">
      <c r="A242" s="71" t="s">
        <v>14</v>
      </c>
      <c r="B242" s="1"/>
      <c r="C242" s="1">
        <f t="shared" si="18"/>
        <v>0</v>
      </c>
      <c r="D242" s="1">
        <f t="shared" si="18"/>
        <v>0</v>
      </c>
      <c r="E242" s="1">
        <f t="shared" si="18"/>
        <v>0</v>
      </c>
      <c r="F242" s="49">
        <f t="shared" si="18"/>
        <v>0</v>
      </c>
    </row>
    <row r="243" spans="1:6" ht="21">
      <c r="A243" s="71" t="s">
        <v>15</v>
      </c>
      <c r="B243" s="1"/>
      <c r="C243" s="1">
        <f t="shared" si="18"/>
        <v>5184.7824</v>
      </c>
      <c r="D243" s="1">
        <f t="shared" si="18"/>
        <v>5767.752928000001</v>
      </c>
      <c r="E243" s="1">
        <f t="shared" si="18"/>
        <v>4469.063773439999</v>
      </c>
      <c r="F243" s="49">
        <f t="shared" si="18"/>
        <v>1292.7965030399996</v>
      </c>
    </row>
    <row r="244" spans="1:6" ht="21">
      <c r="A244" s="71" t="s">
        <v>59</v>
      </c>
      <c r="B244" s="1"/>
      <c r="C244" s="1">
        <f>C199</f>
        <v>0</v>
      </c>
      <c r="D244" s="1">
        <f>D199</f>
        <v>0</v>
      </c>
      <c r="E244" s="1">
        <f>E199</f>
        <v>0</v>
      </c>
      <c r="F244" s="49">
        <f>F199</f>
        <v>0</v>
      </c>
    </row>
    <row r="245" spans="1:6" ht="21">
      <c r="A245" s="71" t="s">
        <v>60</v>
      </c>
      <c r="B245" s="1"/>
      <c r="C245" s="1">
        <f>C207</f>
        <v>0</v>
      </c>
      <c r="D245" s="1">
        <f>D207</f>
        <v>0</v>
      </c>
      <c r="E245" s="1">
        <f>E207</f>
        <v>0</v>
      </c>
      <c r="F245" s="49">
        <f>F207</f>
        <v>0</v>
      </c>
    </row>
    <row r="246" spans="1:6" ht="21">
      <c r="A246" s="71" t="s">
        <v>61</v>
      </c>
      <c r="B246" s="1"/>
      <c r="C246" s="1">
        <f>C152</f>
        <v>0</v>
      </c>
      <c r="D246" s="1">
        <f>D152</f>
        <v>0</v>
      </c>
      <c r="E246" s="1">
        <f>E152</f>
        <v>0</v>
      </c>
      <c r="F246" s="49">
        <f>F152</f>
        <v>0</v>
      </c>
    </row>
    <row r="247" spans="1:6" ht="21">
      <c r="A247" s="72" t="s">
        <v>13</v>
      </c>
      <c r="B247" s="2"/>
      <c r="C247" s="2">
        <f>SUM(C239:C246)</f>
        <v>1597681.2359556917</v>
      </c>
      <c r="D247" s="2">
        <f>SUM(D239:D246)</f>
        <v>308574.781648</v>
      </c>
      <c r="E247" s="2">
        <f>SUM(E239:E246)</f>
        <v>239094.91187903992</v>
      </c>
      <c r="F247" s="51">
        <f>SUM(F239:F246)</f>
        <v>69164.61291263998</v>
      </c>
    </row>
    <row r="248" spans="1:6" ht="21">
      <c r="A248" s="75" t="s">
        <v>21</v>
      </c>
      <c r="B248" s="7"/>
      <c r="C248" s="7">
        <f>C237-C247</f>
        <v>13263.741600000067</v>
      </c>
      <c r="D248" s="7">
        <f>D237-D247</f>
        <v>79303.99995199998</v>
      </c>
      <c r="E248" s="7">
        <f>E237-E247</f>
        <v>318217.87911295996</v>
      </c>
      <c r="F248" s="54">
        <f>F237-F247</f>
        <v>1257217.2618483196</v>
      </c>
    </row>
    <row r="249" spans="1:6" ht="21">
      <c r="A249" s="71"/>
      <c r="B249" s="1"/>
      <c r="C249" s="1"/>
      <c r="D249" s="1"/>
      <c r="E249" s="1"/>
      <c r="F249" s="49"/>
    </row>
    <row r="250" spans="1:6" ht="21">
      <c r="A250" s="65" t="s">
        <v>46</v>
      </c>
      <c r="B250" s="3"/>
      <c r="C250" s="1"/>
      <c r="D250" s="1"/>
      <c r="E250" s="1"/>
      <c r="F250" s="49"/>
    </row>
    <row r="251" spans="1:6" ht="21">
      <c r="A251" s="71" t="s">
        <v>17</v>
      </c>
      <c r="B251" s="1"/>
      <c r="C251" s="16">
        <f aca="true" t="shared" si="19" ref="C251:F256">C231/C$237</f>
        <v>0</v>
      </c>
      <c r="D251" s="16">
        <f t="shared" si="19"/>
        <v>0.03419558436604119</v>
      </c>
      <c r="E251" s="16">
        <f t="shared" si="19"/>
        <v>0.14229711076761986</v>
      </c>
      <c r="F251" s="48">
        <f t="shared" si="19"/>
        <v>0.23991422468005993</v>
      </c>
    </row>
    <row r="252" spans="1:6" ht="21">
      <c r="A252" s="71" t="s">
        <v>63</v>
      </c>
      <c r="B252" s="29"/>
      <c r="C252" s="16">
        <f t="shared" si="19"/>
        <v>0.18042180462364796</v>
      </c>
      <c r="D252" s="16">
        <f t="shared" si="19"/>
        <v>0.9658044156339588</v>
      </c>
      <c r="E252" s="16">
        <f t="shared" si="19"/>
        <v>0.85770288923238</v>
      </c>
      <c r="F252" s="48">
        <f t="shared" si="19"/>
        <v>0.76008577531994</v>
      </c>
    </row>
    <row r="253" spans="1:6" ht="21">
      <c r="A253" s="71" t="s">
        <v>16</v>
      </c>
      <c r="B253" s="29"/>
      <c r="C253" s="16">
        <f t="shared" si="19"/>
        <v>0</v>
      </c>
      <c r="D253" s="16">
        <f t="shared" si="19"/>
        <v>0</v>
      </c>
      <c r="E253" s="16">
        <f t="shared" si="19"/>
        <v>0</v>
      </c>
      <c r="F253" s="48">
        <f t="shared" si="19"/>
        <v>0</v>
      </c>
    </row>
    <row r="254" spans="1:6" ht="21">
      <c r="A254" s="71" t="s">
        <v>103</v>
      </c>
      <c r="B254" s="29"/>
      <c r="C254" s="16">
        <f t="shared" si="19"/>
        <v>0.8195781953763519</v>
      </c>
      <c r="D254" s="16">
        <f t="shared" si="19"/>
        <v>0</v>
      </c>
      <c r="E254" s="16">
        <f t="shared" si="19"/>
        <v>0</v>
      </c>
      <c r="F254" s="48">
        <f t="shared" si="19"/>
        <v>0</v>
      </c>
    </row>
    <row r="255" spans="1:6" ht="21">
      <c r="A255" s="71" t="s">
        <v>120</v>
      </c>
      <c r="B255" s="29"/>
      <c r="C255" s="16">
        <f t="shared" si="19"/>
        <v>0</v>
      </c>
      <c r="D255" s="16">
        <f t="shared" si="19"/>
        <v>0</v>
      </c>
      <c r="E255" s="16">
        <f t="shared" si="19"/>
        <v>0</v>
      </c>
      <c r="F255" s="48">
        <f t="shared" si="19"/>
        <v>0</v>
      </c>
    </row>
    <row r="256" spans="1:6" ht="21">
      <c r="A256" s="71" t="s">
        <v>29</v>
      </c>
      <c r="B256" s="29"/>
      <c r="C256" s="16">
        <f t="shared" si="19"/>
        <v>0</v>
      </c>
      <c r="D256" s="16">
        <f t="shared" si="19"/>
        <v>0</v>
      </c>
      <c r="E256" s="16">
        <f t="shared" si="19"/>
        <v>0</v>
      </c>
      <c r="F256" s="48">
        <f t="shared" si="19"/>
        <v>0</v>
      </c>
    </row>
    <row r="257" spans="1:6" ht="21">
      <c r="A257" s="72" t="s">
        <v>12</v>
      </c>
      <c r="B257" s="2"/>
      <c r="C257" s="30">
        <f>SUM(C251:C256)</f>
        <v>0.9999999999999999</v>
      </c>
      <c r="D257" s="30">
        <f>SUM(D251:D256)</f>
        <v>1</v>
      </c>
      <c r="E257" s="30">
        <f>SUM(E251:E256)</f>
        <v>0.9999999999999999</v>
      </c>
      <c r="F257" s="57">
        <f>SUM(F251:F256)</f>
        <v>1</v>
      </c>
    </row>
    <row r="258" spans="1:6" ht="21">
      <c r="A258" s="72"/>
      <c r="B258" s="2"/>
      <c r="C258" s="2"/>
      <c r="D258" s="2"/>
      <c r="E258" s="2"/>
      <c r="F258" s="51"/>
    </row>
    <row r="259" spans="1:6" ht="21">
      <c r="A259" s="71" t="s">
        <v>122</v>
      </c>
      <c r="B259" s="2"/>
      <c r="C259" s="16">
        <f aca="true" t="shared" si="20" ref="C259:F267">C239/C$247</f>
        <v>0.8263822268438453</v>
      </c>
      <c r="D259" s="16">
        <f t="shared" si="20"/>
        <v>0</v>
      </c>
      <c r="E259" s="16">
        <f t="shared" si="20"/>
        <v>0</v>
      </c>
      <c r="F259" s="48">
        <f t="shared" si="20"/>
        <v>0</v>
      </c>
    </row>
    <row r="260" spans="1:6" ht="21">
      <c r="A260" s="71" t="s">
        <v>96</v>
      </c>
      <c r="B260" s="1"/>
      <c r="C260" s="16">
        <f t="shared" si="20"/>
        <v>0.16225960108051832</v>
      </c>
      <c r="D260" s="16">
        <f t="shared" si="20"/>
        <v>0.9345794392523366</v>
      </c>
      <c r="E260" s="16">
        <f t="shared" si="20"/>
        <v>0.9345794392523364</v>
      </c>
      <c r="F260" s="48">
        <f t="shared" si="20"/>
        <v>0.9345794392523366</v>
      </c>
    </row>
    <row r="261" spans="1:6" ht="21">
      <c r="A261" s="71" t="s">
        <v>123</v>
      </c>
      <c r="B261" s="1"/>
      <c r="C261" s="16">
        <f t="shared" si="20"/>
        <v>0.008112980054025916</v>
      </c>
      <c r="D261" s="16">
        <f t="shared" si="20"/>
        <v>0.04672897196261683</v>
      </c>
      <c r="E261" s="16">
        <f t="shared" si="20"/>
        <v>0.04672897196261683</v>
      </c>
      <c r="F261" s="48">
        <f t="shared" si="20"/>
        <v>0.04672897196261683</v>
      </c>
    </row>
    <row r="262" spans="1:6" ht="21">
      <c r="A262" s="71" t="s">
        <v>14</v>
      </c>
      <c r="B262" s="1"/>
      <c r="C262" s="16">
        <f t="shared" si="20"/>
        <v>0</v>
      </c>
      <c r="D262" s="16">
        <f t="shared" si="20"/>
        <v>0</v>
      </c>
      <c r="E262" s="16">
        <f t="shared" si="20"/>
        <v>0</v>
      </c>
      <c r="F262" s="48">
        <f t="shared" si="20"/>
        <v>0</v>
      </c>
    </row>
    <row r="263" spans="1:6" ht="21">
      <c r="A263" s="71" t="s">
        <v>15</v>
      </c>
      <c r="B263" s="1"/>
      <c r="C263" s="16">
        <f t="shared" si="20"/>
        <v>0.0032451920216103663</v>
      </c>
      <c r="D263" s="16">
        <f t="shared" si="20"/>
        <v>0.01869158878504673</v>
      </c>
      <c r="E263" s="16">
        <f t="shared" si="20"/>
        <v>0.01869158878504673</v>
      </c>
      <c r="F263" s="48">
        <f t="shared" si="20"/>
        <v>0.01869158878504673</v>
      </c>
    </row>
    <row r="264" spans="1:6" ht="21">
      <c r="A264" s="71" t="s">
        <v>59</v>
      </c>
      <c r="B264" s="1"/>
      <c r="C264" s="16">
        <f t="shared" si="20"/>
        <v>0</v>
      </c>
      <c r="D264" s="16">
        <f t="shared" si="20"/>
        <v>0</v>
      </c>
      <c r="E264" s="16">
        <f t="shared" si="20"/>
        <v>0</v>
      </c>
      <c r="F264" s="48">
        <f t="shared" si="20"/>
        <v>0</v>
      </c>
    </row>
    <row r="265" spans="1:6" ht="21">
      <c r="A265" s="71" t="s">
        <v>60</v>
      </c>
      <c r="B265" s="1"/>
      <c r="C265" s="16">
        <f t="shared" si="20"/>
        <v>0</v>
      </c>
      <c r="D265" s="16">
        <f t="shared" si="20"/>
        <v>0</v>
      </c>
      <c r="E265" s="16">
        <f t="shared" si="20"/>
        <v>0</v>
      </c>
      <c r="F265" s="48">
        <f t="shared" si="20"/>
        <v>0</v>
      </c>
    </row>
    <row r="266" spans="1:6" ht="21">
      <c r="A266" s="71" t="s">
        <v>61</v>
      </c>
      <c r="B266" s="1"/>
      <c r="C266" s="16">
        <f t="shared" si="20"/>
        <v>0</v>
      </c>
      <c r="D266" s="16">
        <f t="shared" si="20"/>
        <v>0</v>
      </c>
      <c r="E266" s="16">
        <f t="shared" si="20"/>
        <v>0</v>
      </c>
      <c r="F266" s="48">
        <f t="shared" si="20"/>
        <v>0</v>
      </c>
    </row>
    <row r="267" spans="1:6" ht="21">
      <c r="A267" s="72" t="s">
        <v>13</v>
      </c>
      <c r="B267" s="2"/>
      <c r="C267" s="20">
        <f t="shared" si="20"/>
        <v>1</v>
      </c>
      <c r="D267" s="20">
        <f t="shared" si="20"/>
        <v>1</v>
      </c>
      <c r="E267" s="20">
        <f t="shared" si="20"/>
        <v>1</v>
      </c>
      <c r="F267" s="52">
        <f t="shared" si="20"/>
        <v>1</v>
      </c>
    </row>
    <row r="268" spans="1:6" ht="21.75" thickBot="1">
      <c r="A268" s="79" t="s">
        <v>21</v>
      </c>
      <c r="B268" s="58"/>
      <c r="C268" s="59">
        <f>C248/C247</f>
        <v>0.008301869798242977</v>
      </c>
      <c r="D268" s="59">
        <f>D248/D247</f>
        <v>0.25700091086012433</v>
      </c>
      <c r="E268" s="59">
        <f>E248/E247</f>
        <v>1.3309270222945981</v>
      </c>
      <c r="F268" s="60">
        <f>F248/F247</f>
        <v>18.177174842809833</v>
      </c>
    </row>
    <row r="269" ht="21.75" thickTop="1">
      <c r="A269" s="80"/>
    </row>
    <row r="270" ht="21">
      <c r="A270" s="80"/>
    </row>
    <row r="271" ht="21">
      <c r="A271" s="80"/>
    </row>
    <row r="272" ht="21">
      <c r="A272" s="80"/>
    </row>
    <row r="273" ht="21">
      <c r="A273" s="80"/>
    </row>
    <row r="274" ht="21">
      <c r="A274" s="80"/>
    </row>
    <row r="275" ht="21">
      <c r="A275" s="80"/>
    </row>
    <row r="276" ht="21">
      <c r="A276" s="80"/>
    </row>
    <row r="277" ht="21">
      <c r="A277" s="80"/>
    </row>
    <row r="278" ht="21">
      <c r="A278" s="80"/>
    </row>
    <row r="279" ht="21">
      <c r="A279" s="80"/>
    </row>
    <row r="280" ht="21">
      <c r="A280" s="80"/>
    </row>
    <row r="281" ht="21">
      <c r="A281" s="80"/>
    </row>
    <row r="282" ht="21">
      <c r="A282" s="80"/>
    </row>
    <row r="283" ht="21">
      <c r="A283" s="80"/>
    </row>
    <row r="284" ht="21">
      <c r="A284" s="80"/>
    </row>
    <row r="285" ht="21">
      <c r="A285" s="80"/>
    </row>
    <row r="286" ht="21">
      <c r="A286" s="80"/>
    </row>
    <row r="287" ht="21">
      <c r="A287" s="80"/>
    </row>
    <row r="288" ht="21">
      <c r="A288" s="80"/>
    </row>
    <row r="289" ht="21">
      <c r="A289" s="80"/>
    </row>
    <row r="290" ht="21">
      <c r="A290" s="80"/>
    </row>
    <row r="291" ht="21">
      <c r="A291" s="80"/>
    </row>
    <row r="292" ht="21">
      <c r="A292" s="80"/>
    </row>
    <row r="293" ht="21">
      <c r="A293" s="80"/>
    </row>
    <row r="294" ht="21">
      <c r="A294" s="80"/>
    </row>
    <row r="295" ht="21">
      <c r="A295" s="80"/>
    </row>
    <row r="296" ht="21">
      <c r="A296" s="80"/>
    </row>
    <row r="297" ht="21">
      <c r="A297" s="80"/>
    </row>
    <row r="298" ht="21">
      <c r="A298" s="80"/>
    </row>
    <row r="299" ht="21">
      <c r="A299" s="80"/>
    </row>
    <row r="300" ht="21">
      <c r="A300" s="80"/>
    </row>
    <row r="301" ht="21">
      <c r="A301" s="80"/>
    </row>
    <row r="302" ht="21">
      <c r="A302" s="80"/>
    </row>
    <row r="303" ht="21">
      <c r="A303" s="80"/>
    </row>
    <row r="304" ht="21">
      <c r="A304" s="80"/>
    </row>
    <row r="305" ht="21">
      <c r="A305" s="80"/>
    </row>
    <row r="306" ht="21">
      <c r="A306" s="80"/>
    </row>
    <row r="307" ht="21">
      <c r="A307" s="80"/>
    </row>
    <row r="308" ht="21">
      <c r="A308" s="80"/>
    </row>
    <row r="309" ht="21">
      <c r="A309" s="80"/>
    </row>
    <row r="310" ht="21">
      <c r="A310" s="80"/>
    </row>
    <row r="311" ht="21">
      <c r="A311" s="80"/>
    </row>
    <row r="312" ht="21">
      <c r="A312" s="80"/>
    </row>
    <row r="313" ht="21">
      <c r="A313" s="80"/>
    </row>
    <row r="314" ht="21">
      <c r="A314" s="80"/>
    </row>
    <row r="315" ht="21">
      <c r="A315" s="80"/>
    </row>
    <row r="316" ht="21">
      <c r="A316" s="80"/>
    </row>
    <row r="317" ht="21">
      <c r="A317" s="80"/>
    </row>
    <row r="318" ht="21">
      <c r="A318" s="80"/>
    </row>
    <row r="319" ht="21">
      <c r="A319" s="80"/>
    </row>
    <row r="320" ht="21">
      <c r="A320" s="80"/>
    </row>
    <row r="321" ht="21">
      <c r="A321" s="80"/>
    </row>
    <row r="322" ht="21">
      <c r="A322" s="80"/>
    </row>
    <row r="323" ht="21">
      <c r="A323" s="80"/>
    </row>
    <row r="324" ht="21">
      <c r="A324" s="80"/>
    </row>
    <row r="325" ht="21">
      <c r="A325" s="80"/>
    </row>
    <row r="326" ht="21">
      <c r="A326" s="80"/>
    </row>
    <row r="327" ht="21">
      <c r="A327" s="80"/>
    </row>
  </sheetData>
  <mergeCells count="11">
    <mergeCell ref="A11:B11"/>
    <mergeCell ref="A2:F2"/>
    <mergeCell ref="A3:F3"/>
    <mergeCell ref="A4:F4"/>
    <mergeCell ref="A5:F5"/>
    <mergeCell ref="A6:F6"/>
    <mergeCell ref="A7:F7"/>
    <mergeCell ref="A10:F10"/>
    <mergeCell ref="A9:F9"/>
    <mergeCell ref="A8:F8"/>
    <mergeCell ref="A1:F1"/>
  </mergeCells>
  <conditionalFormatting sqref="C189:F189 C187:F187">
    <cfRule type="cellIs" priority="1" dxfId="0" operator="lessThan" stopIfTrue="1">
      <formula>0</formula>
    </cfRule>
  </conditionalFormatting>
  <conditionalFormatting sqref="C188:F188">
    <cfRule type="cellIs" priority="2" dxfId="1" operator="lessThan" stopIfTrue="1">
      <formula>0</formula>
    </cfRule>
  </conditionalFormatting>
  <printOptions gridLines="1" horizontalCentered="1" verticalCentered="1"/>
  <pageMargins left="0.5" right="0.5" top="0.75" bottom="0.62" header="0.35" footer="0.35"/>
  <pageSetup horizontalDpi="600" verticalDpi="600" orientation="portrait" paperSize="9" r:id="rId1"/>
  <headerFooter alignWithMargins="0">
    <oddHeader>&amp;L&amp;"B Kamran,Regular"&amp;14شركت سرمايه‌گذاري ساختمان و صنعت</oddHeader>
    <oddFooter>&amp;R&amp;"B Kamran,Regular"&amp;12صفحة &amp;P از &amp;N صفحه</oddFooter>
  </headerFooter>
</worksheet>
</file>

<file path=xl/worksheets/sheet7.xml><?xml version="1.0" encoding="utf-8"?>
<worksheet xmlns="http://schemas.openxmlformats.org/spreadsheetml/2006/main" xmlns:r="http://schemas.openxmlformats.org/officeDocument/2006/relationships">
  <sheetPr>
    <tabColor indexed="13"/>
  </sheetPr>
  <dimension ref="A1:K327"/>
  <sheetViews>
    <sheetView rightToLeft="1" tabSelected="1" workbookViewId="0" topLeftCell="A16">
      <pane ySplit="4455" topLeftCell="BM11" activePane="bottomLeft" state="split"/>
      <selection pane="topLeft" activeCell="A11" sqref="A11:B11"/>
      <selection pane="bottomLeft" activeCell="A11" sqref="A11:B11"/>
    </sheetView>
  </sheetViews>
  <sheetFormatPr defaultColWidth="9.140625" defaultRowHeight="12.75"/>
  <cols>
    <col min="1" max="1" width="42.00390625" style="67" customWidth="1"/>
    <col min="2" max="2" width="10.28125" style="23" customWidth="1"/>
    <col min="3" max="4" width="10.7109375" style="13" customWidth="1"/>
    <col min="5" max="6" width="10.8515625" style="13" customWidth="1"/>
    <col min="7" max="16384" width="9.140625" style="13" customWidth="1"/>
  </cols>
  <sheetData>
    <row r="1" spans="1:11" s="62" customFormat="1" ht="35.25" customHeight="1" thickBot="1" thickTop="1">
      <c r="A1" s="84" t="s">
        <v>117</v>
      </c>
      <c r="B1" s="85"/>
      <c r="C1" s="85"/>
      <c r="D1" s="85"/>
      <c r="E1" s="85"/>
      <c r="F1" s="86"/>
      <c r="G1" s="61"/>
      <c r="H1" s="61"/>
      <c r="I1" s="61"/>
      <c r="J1" s="61"/>
      <c r="K1" s="61"/>
    </row>
    <row r="2" spans="1:11" s="63" customFormat="1" ht="32.25" customHeight="1" thickTop="1">
      <c r="A2" s="89" t="s">
        <v>153</v>
      </c>
      <c r="B2" s="90"/>
      <c r="C2" s="90"/>
      <c r="D2" s="90"/>
      <c r="E2" s="90"/>
      <c r="F2" s="90"/>
      <c r="G2" s="61"/>
      <c r="H2" s="61"/>
      <c r="I2" s="61"/>
      <c r="J2" s="61"/>
      <c r="K2" s="61"/>
    </row>
    <row r="3" spans="1:11" s="63" customFormat="1" ht="47.25" customHeight="1">
      <c r="A3" s="83" t="s">
        <v>156</v>
      </c>
      <c r="B3" s="83"/>
      <c r="C3" s="83"/>
      <c r="D3" s="83"/>
      <c r="E3" s="83"/>
      <c r="F3" s="83"/>
      <c r="G3" s="61"/>
      <c r="H3" s="61"/>
      <c r="I3" s="61"/>
      <c r="J3" s="61"/>
      <c r="K3" s="61"/>
    </row>
    <row r="4" spans="1:11" s="63" customFormat="1" ht="22.5" customHeight="1">
      <c r="A4" s="83" t="s">
        <v>157</v>
      </c>
      <c r="B4" s="83"/>
      <c r="C4" s="83"/>
      <c r="D4" s="83"/>
      <c r="E4" s="83"/>
      <c r="F4" s="83"/>
      <c r="G4" s="61"/>
      <c r="H4" s="61"/>
      <c r="I4" s="61"/>
      <c r="J4" s="61"/>
      <c r="K4" s="61"/>
    </row>
    <row r="5" spans="1:11" s="63" customFormat="1" ht="48.75" customHeight="1">
      <c r="A5" s="83" t="s">
        <v>158</v>
      </c>
      <c r="B5" s="83"/>
      <c r="C5" s="83"/>
      <c r="D5" s="83"/>
      <c r="E5" s="83"/>
      <c r="F5" s="83"/>
      <c r="G5" s="61"/>
      <c r="H5" s="61"/>
      <c r="I5" s="61"/>
      <c r="J5" s="61"/>
      <c r="K5" s="61"/>
    </row>
    <row r="6" spans="1:11" s="63" customFormat="1" ht="21" customHeight="1">
      <c r="A6" s="83" t="s">
        <v>159</v>
      </c>
      <c r="B6" s="83"/>
      <c r="C6" s="83"/>
      <c r="D6" s="83"/>
      <c r="E6" s="83"/>
      <c r="F6" s="83"/>
      <c r="G6" s="61"/>
      <c r="H6" s="61"/>
      <c r="I6" s="61"/>
      <c r="J6" s="61"/>
      <c r="K6" s="61"/>
    </row>
    <row r="7" spans="1:11" s="63" customFormat="1" ht="22.5" customHeight="1">
      <c r="A7" s="83" t="s">
        <v>160</v>
      </c>
      <c r="B7" s="83"/>
      <c r="C7" s="83"/>
      <c r="D7" s="83"/>
      <c r="E7" s="83"/>
      <c r="F7" s="83"/>
      <c r="G7" s="61"/>
      <c r="H7" s="61"/>
      <c r="I7" s="61"/>
      <c r="J7" s="61"/>
      <c r="K7" s="61"/>
    </row>
    <row r="8" spans="1:11" s="63" customFormat="1" ht="22.5" customHeight="1">
      <c r="A8" s="83" t="s">
        <v>161</v>
      </c>
      <c r="B8" s="83"/>
      <c r="C8" s="83"/>
      <c r="D8" s="83"/>
      <c r="E8" s="83"/>
      <c r="F8" s="83"/>
      <c r="G8" s="61"/>
      <c r="H8" s="61"/>
      <c r="I8" s="61"/>
      <c r="J8" s="61"/>
      <c r="K8" s="61"/>
    </row>
    <row r="9" spans="1:11" s="63" customFormat="1" ht="22.5" customHeight="1">
      <c r="A9" s="83" t="s">
        <v>155</v>
      </c>
      <c r="B9" s="83"/>
      <c r="C9" s="83"/>
      <c r="D9" s="83"/>
      <c r="E9" s="83"/>
      <c r="F9" s="83"/>
      <c r="G9" s="61"/>
      <c r="H9" s="61"/>
      <c r="I9" s="61"/>
      <c r="J9" s="61"/>
      <c r="K9" s="61"/>
    </row>
    <row r="10" spans="1:11" s="63" customFormat="1" ht="137.25" customHeight="1" thickBot="1">
      <c r="A10" s="82" t="s">
        <v>154</v>
      </c>
      <c r="B10" s="82"/>
      <c r="C10" s="82"/>
      <c r="D10" s="82"/>
      <c r="E10" s="82"/>
      <c r="F10" s="82"/>
      <c r="G10" s="61"/>
      <c r="H10" s="61"/>
      <c r="I10" s="61"/>
      <c r="J10" s="61"/>
      <c r="K10" s="61"/>
    </row>
    <row r="11" spans="1:6" s="43" customFormat="1" ht="30" thickBot="1" thickTop="1">
      <c r="A11" s="87" t="s">
        <v>165</v>
      </c>
      <c r="B11" s="88"/>
      <c r="C11" s="68" t="s">
        <v>113</v>
      </c>
      <c r="D11" s="68" t="s">
        <v>114</v>
      </c>
      <c r="E11" s="68" t="s">
        <v>115</v>
      </c>
      <c r="F11" s="69" t="s">
        <v>116</v>
      </c>
    </row>
    <row r="12" spans="1:6" s="15" customFormat="1" ht="21.75" thickTop="1">
      <c r="A12" s="64" t="s">
        <v>1</v>
      </c>
      <c r="B12" s="26"/>
      <c r="C12" s="14"/>
      <c r="D12" s="14"/>
      <c r="E12" s="14"/>
      <c r="F12" s="47"/>
    </row>
    <row r="13" spans="1:6" s="17" customFormat="1" ht="21">
      <c r="A13" s="70" t="s">
        <v>2</v>
      </c>
      <c r="B13" s="16"/>
      <c r="C13" s="16">
        <v>0.16</v>
      </c>
      <c r="D13" s="16">
        <v>0.16</v>
      </c>
      <c r="E13" s="16">
        <v>0.16</v>
      </c>
      <c r="F13" s="48">
        <v>0.16</v>
      </c>
    </row>
    <row r="14" spans="1:6" s="17" customFormat="1" ht="21">
      <c r="A14" s="70" t="s">
        <v>90</v>
      </c>
      <c r="B14" s="16"/>
      <c r="C14" s="16">
        <v>0.22</v>
      </c>
      <c r="D14" s="16">
        <v>0.22</v>
      </c>
      <c r="E14" s="16">
        <v>0.22</v>
      </c>
      <c r="F14" s="48">
        <v>0.22</v>
      </c>
    </row>
    <row r="15" spans="1:6" s="4" customFormat="1" ht="21">
      <c r="A15" s="71" t="s">
        <v>68</v>
      </c>
      <c r="B15" s="1">
        <v>45000</v>
      </c>
      <c r="D15" s="1" t="s">
        <v>0</v>
      </c>
      <c r="E15" s="1" t="s">
        <v>0</v>
      </c>
      <c r="F15" s="49" t="s">
        <v>0</v>
      </c>
    </row>
    <row r="16" spans="1:6" s="4" customFormat="1" ht="21">
      <c r="A16" s="71" t="s">
        <v>67</v>
      </c>
      <c r="B16" s="1">
        <v>54000</v>
      </c>
      <c r="C16" s="1"/>
      <c r="D16" s="1"/>
      <c r="E16" s="1"/>
      <c r="F16" s="49"/>
    </row>
    <row r="17" spans="1:6" s="4" customFormat="1" ht="21">
      <c r="A17" s="71" t="s">
        <v>66</v>
      </c>
      <c r="B17" s="1">
        <v>106000</v>
      </c>
      <c r="C17" s="1"/>
      <c r="D17" s="1"/>
      <c r="E17" s="1"/>
      <c r="F17" s="49"/>
    </row>
    <row r="18" spans="1:6" s="4" customFormat="1" ht="21">
      <c r="A18" s="71" t="s">
        <v>69</v>
      </c>
      <c r="B18" s="1">
        <f>B16+B17</f>
        <v>160000</v>
      </c>
      <c r="C18" s="1"/>
      <c r="D18" s="1"/>
      <c r="E18" s="1"/>
      <c r="F18" s="49"/>
    </row>
    <row r="19" spans="1:6" s="4" customFormat="1" ht="21">
      <c r="A19" s="71" t="s">
        <v>124</v>
      </c>
      <c r="B19" s="24">
        <v>10.896116037121834</v>
      </c>
      <c r="C19" s="1"/>
      <c r="D19" s="1"/>
      <c r="E19" s="1"/>
      <c r="F19" s="49"/>
    </row>
    <row r="20" spans="1:6" s="4" customFormat="1" ht="21">
      <c r="A20" s="71" t="s">
        <v>70</v>
      </c>
      <c r="B20" s="1">
        <f>B19*B15</f>
        <v>490325.22167048254</v>
      </c>
      <c r="C20" s="1"/>
      <c r="D20" s="1"/>
      <c r="E20" s="1"/>
      <c r="F20" s="49"/>
    </row>
    <row r="21" spans="1:6" s="4" customFormat="1" ht="21">
      <c r="A21" s="71" t="s">
        <v>99</v>
      </c>
      <c r="B21" s="1">
        <f>SUM(C21:F21)</f>
        <v>0</v>
      </c>
      <c r="C21" s="1">
        <v>0</v>
      </c>
      <c r="D21" s="1">
        <v>0</v>
      </c>
      <c r="E21" s="1">
        <v>0</v>
      </c>
      <c r="F21" s="49">
        <v>0</v>
      </c>
    </row>
    <row r="22" spans="1:6" s="4" customFormat="1" ht="21">
      <c r="A22" s="71" t="s">
        <v>104</v>
      </c>
      <c r="B22" s="1">
        <f>SUM(C22:F22)</f>
        <v>825000</v>
      </c>
      <c r="C22" s="1">
        <v>280000</v>
      </c>
      <c r="D22" s="1">
        <v>305000</v>
      </c>
      <c r="E22" s="1">
        <v>240000</v>
      </c>
      <c r="F22" s="49">
        <v>0</v>
      </c>
    </row>
    <row r="23" spans="1:6" s="4" customFormat="1" ht="21">
      <c r="A23" s="71"/>
      <c r="B23" s="1"/>
      <c r="C23" s="1"/>
      <c r="D23" s="1"/>
      <c r="E23" s="1"/>
      <c r="F23" s="49"/>
    </row>
    <row r="24" spans="1:6" s="19" customFormat="1" ht="21">
      <c r="A24" s="71" t="s">
        <v>92</v>
      </c>
      <c r="B24" s="20">
        <f>SUM(C24:F24)</f>
        <v>1</v>
      </c>
      <c r="C24" s="16">
        <v>0</v>
      </c>
      <c r="D24" s="41">
        <v>0</v>
      </c>
      <c r="E24" s="41">
        <v>0</v>
      </c>
      <c r="F24" s="48">
        <v>1</v>
      </c>
    </row>
    <row r="25" spans="1:6" s="19" customFormat="1" ht="21">
      <c r="A25" s="71" t="s">
        <v>141</v>
      </c>
      <c r="B25" s="20">
        <f aca="true" t="shared" si="0" ref="B25:B35">SUM(C25:F25)</f>
        <v>1</v>
      </c>
      <c r="C25" s="16">
        <f>C170</f>
        <v>0.5544860338638293</v>
      </c>
      <c r="D25" s="16">
        <f>D170</f>
        <v>0.22287083157727536</v>
      </c>
      <c r="E25" s="16">
        <f>E170</f>
        <v>0.17268838870041983</v>
      </c>
      <c r="F25" s="48">
        <f>F170</f>
        <v>0.049954745858475556</v>
      </c>
    </row>
    <row r="26" spans="1:6" s="4" customFormat="1" ht="21">
      <c r="A26" s="71" t="s">
        <v>151</v>
      </c>
      <c r="B26" s="24">
        <v>8.7</v>
      </c>
      <c r="C26" s="24">
        <f>(1+C13)*B26</f>
        <v>10.091999999999999</v>
      </c>
      <c r="D26" s="24">
        <f>(1+D13)*C26</f>
        <v>11.706719999999997</v>
      </c>
      <c r="E26" s="24">
        <f>(1+E13)*D26</f>
        <v>13.579795199999996</v>
      </c>
      <c r="F26" s="50">
        <f>(1+F13)*E26</f>
        <v>15.752562431999994</v>
      </c>
    </row>
    <row r="27" spans="1:6" s="4" customFormat="1" ht="21">
      <c r="A27" s="71" t="s">
        <v>143</v>
      </c>
      <c r="B27" s="2">
        <f>SUM(C27:F27)</f>
        <v>160000</v>
      </c>
      <c r="C27" s="1">
        <f>C24*$B$18</f>
        <v>0</v>
      </c>
      <c r="D27" s="1">
        <f>D24*$B$18</f>
        <v>0</v>
      </c>
      <c r="E27" s="1">
        <f>E24*$B$18</f>
        <v>0</v>
      </c>
      <c r="F27" s="49">
        <f>F24*$B$18</f>
        <v>160000</v>
      </c>
    </row>
    <row r="28" spans="1:6" s="4" customFormat="1" ht="21">
      <c r="A28" s="71" t="s">
        <v>144</v>
      </c>
      <c r="B28" s="2">
        <f>SUM(C28:F28)</f>
        <v>2520409.989119999</v>
      </c>
      <c r="C28" s="1">
        <f>C27*C26</f>
        <v>0</v>
      </c>
      <c r="D28" s="1">
        <f>D27*D26</f>
        <v>0</v>
      </c>
      <c r="E28" s="1">
        <f>E27*E26</f>
        <v>0</v>
      </c>
      <c r="F28" s="49">
        <f>F27*F26</f>
        <v>2520409.989119999</v>
      </c>
    </row>
    <row r="29" spans="1:6" s="4" customFormat="1" ht="21">
      <c r="A29" s="71"/>
      <c r="B29" s="2"/>
      <c r="C29" s="1"/>
      <c r="D29" s="1"/>
      <c r="E29" s="1"/>
      <c r="F29" s="49"/>
    </row>
    <row r="30" spans="1:6" s="4" customFormat="1" ht="21">
      <c r="A30" s="64" t="s">
        <v>148</v>
      </c>
      <c r="B30" s="2"/>
      <c r="C30" s="1"/>
      <c r="D30" s="1"/>
      <c r="E30" s="1"/>
      <c r="F30" s="49"/>
    </row>
    <row r="31" spans="1:6" s="19" customFormat="1" ht="21">
      <c r="A31" s="71" t="s">
        <v>142</v>
      </c>
      <c r="B31" s="2">
        <f t="shared" si="0"/>
        <v>0</v>
      </c>
      <c r="C31" s="1">
        <f>$C$28*C25</f>
        <v>0</v>
      </c>
      <c r="D31" s="1">
        <f>$C$28*D25</f>
        <v>0</v>
      </c>
      <c r="E31" s="1">
        <f>$C$28*E25</f>
        <v>0</v>
      </c>
      <c r="F31" s="49">
        <f>$C$28*F25</f>
        <v>0</v>
      </c>
    </row>
    <row r="32" spans="1:6" s="19" customFormat="1" ht="21">
      <c r="A32" s="71" t="s">
        <v>145</v>
      </c>
      <c r="B32" s="2">
        <f t="shared" si="0"/>
        <v>0</v>
      </c>
      <c r="C32" s="1">
        <v>0</v>
      </c>
      <c r="D32" s="1">
        <f>$D$28*(D25+C25)</f>
        <v>0</v>
      </c>
      <c r="E32" s="1">
        <f>$D$28*E25</f>
        <v>0</v>
      </c>
      <c r="F32" s="49">
        <f>$D$28*F25</f>
        <v>0</v>
      </c>
    </row>
    <row r="33" spans="1:6" s="19" customFormat="1" ht="21">
      <c r="A33" s="71" t="s">
        <v>146</v>
      </c>
      <c r="B33" s="2">
        <f t="shared" si="0"/>
        <v>0</v>
      </c>
      <c r="C33" s="1">
        <v>0</v>
      </c>
      <c r="D33" s="1">
        <v>0</v>
      </c>
      <c r="E33" s="1">
        <f>$E$28*(E25+D25+C25)</f>
        <v>0</v>
      </c>
      <c r="F33" s="49">
        <f>$E$28*F25</f>
        <v>0</v>
      </c>
    </row>
    <row r="34" spans="1:6" s="19" customFormat="1" ht="21">
      <c r="A34" s="71" t="s">
        <v>147</v>
      </c>
      <c r="B34" s="2">
        <f t="shared" si="0"/>
        <v>2520409.989119999</v>
      </c>
      <c r="C34" s="1">
        <v>0</v>
      </c>
      <c r="D34" s="1">
        <v>0</v>
      </c>
      <c r="E34" s="1"/>
      <c r="F34" s="49">
        <f>$F$28*(F25+E25+D25+C25)</f>
        <v>2520409.989119999</v>
      </c>
    </row>
    <row r="35" spans="1:6" s="19" customFormat="1" ht="21">
      <c r="A35" s="71"/>
      <c r="B35" s="2">
        <f t="shared" si="0"/>
        <v>2520409.989119999</v>
      </c>
      <c r="C35" s="2">
        <f>SUM(C31:C34)</f>
        <v>0</v>
      </c>
      <c r="D35" s="2">
        <f>SUM(D31:D34)</f>
        <v>0</v>
      </c>
      <c r="E35" s="2">
        <f>SUM(E31:E34)</f>
        <v>0</v>
      </c>
      <c r="F35" s="51">
        <f>SUM(F31:F34)</f>
        <v>2520409.989119999</v>
      </c>
    </row>
    <row r="36" spans="1:6" s="19" customFormat="1" ht="21">
      <c r="A36" s="71"/>
      <c r="B36" s="2"/>
      <c r="C36" s="2"/>
      <c r="D36" s="2"/>
      <c r="E36" s="2"/>
      <c r="F36" s="51"/>
    </row>
    <row r="37" spans="1:6" s="4" customFormat="1" ht="21">
      <c r="A37" s="64" t="s">
        <v>149</v>
      </c>
      <c r="B37" s="2"/>
      <c r="C37" s="1"/>
      <c r="D37" s="1"/>
      <c r="E37" s="1"/>
      <c r="F37" s="49"/>
    </row>
    <row r="38" spans="1:6" s="19" customFormat="1" ht="21">
      <c r="A38" s="71" t="s">
        <v>142</v>
      </c>
      <c r="B38" s="20">
        <f>SUM(C38:F38)</f>
        <v>0</v>
      </c>
      <c r="C38" s="16">
        <f>C31/$B$35</f>
        <v>0</v>
      </c>
      <c r="D38" s="16">
        <f>D31/$B$35</f>
        <v>0</v>
      </c>
      <c r="E38" s="16">
        <f>E31/$B$35</f>
        <v>0</v>
      </c>
      <c r="F38" s="48">
        <f>F31/$B$35</f>
        <v>0</v>
      </c>
    </row>
    <row r="39" spans="1:6" s="19" customFormat="1" ht="21">
      <c r="A39" s="71" t="s">
        <v>145</v>
      </c>
      <c r="B39" s="20">
        <f>SUM(C39:F39)</f>
        <v>0</v>
      </c>
      <c r="C39" s="16">
        <f aca="true" t="shared" si="1" ref="C39:F42">C32/$B$35</f>
        <v>0</v>
      </c>
      <c r="D39" s="16">
        <f t="shared" si="1"/>
        <v>0</v>
      </c>
      <c r="E39" s="16">
        <f t="shared" si="1"/>
        <v>0</v>
      </c>
      <c r="F39" s="48">
        <f t="shared" si="1"/>
        <v>0</v>
      </c>
    </row>
    <row r="40" spans="1:6" s="19" customFormat="1" ht="21">
      <c r="A40" s="71" t="s">
        <v>146</v>
      </c>
      <c r="B40" s="20">
        <f>SUM(C40:F40)</f>
        <v>0</v>
      </c>
      <c r="C40" s="16">
        <f t="shared" si="1"/>
        <v>0</v>
      </c>
      <c r="D40" s="16">
        <f t="shared" si="1"/>
        <v>0</v>
      </c>
      <c r="E40" s="16">
        <f t="shared" si="1"/>
        <v>0</v>
      </c>
      <c r="F40" s="48">
        <f t="shared" si="1"/>
        <v>0</v>
      </c>
    </row>
    <row r="41" spans="1:6" s="19" customFormat="1" ht="21">
      <c r="A41" s="71" t="s">
        <v>147</v>
      </c>
      <c r="B41" s="20">
        <f>SUM(C41:F41)</f>
        <v>1</v>
      </c>
      <c r="C41" s="16">
        <f t="shared" si="1"/>
        <v>0</v>
      </c>
      <c r="D41" s="16">
        <f t="shared" si="1"/>
        <v>0</v>
      </c>
      <c r="E41" s="16">
        <f t="shared" si="1"/>
        <v>0</v>
      </c>
      <c r="F41" s="48">
        <f t="shared" si="1"/>
        <v>1</v>
      </c>
    </row>
    <row r="42" spans="1:6" s="19" customFormat="1" ht="21">
      <c r="A42" s="72"/>
      <c r="B42" s="20">
        <f>SUM(C42:F42)</f>
        <v>1</v>
      </c>
      <c r="C42" s="20">
        <f t="shared" si="1"/>
        <v>0</v>
      </c>
      <c r="D42" s="20">
        <f t="shared" si="1"/>
        <v>0</v>
      </c>
      <c r="E42" s="20">
        <f t="shared" si="1"/>
        <v>0</v>
      </c>
      <c r="F42" s="52">
        <f t="shared" si="1"/>
        <v>1</v>
      </c>
    </row>
    <row r="43" spans="1:6" s="4" customFormat="1" ht="21">
      <c r="A43" s="64" t="s">
        <v>150</v>
      </c>
      <c r="B43" s="2"/>
      <c r="C43" s="1"/>
      <c r="D43" s="1"/>
      <c r="E43" s="1"/>
      <c r="F43" s="49"/>
    </row>
    <row r="44" spans="1:6" s="19" customFormat="1" ht="21">
      <c r="A44" s="71" t="s">
        <v>142</v>
      </c>
      <c r="B44" s="20">
        <f>SUM(C44:F44)</f>
        <v>0</v>
      </c>
      <c r="C44" s="16">
        <v>0</v>
      </c>
      <c r="D44" s="16">
        <v>0</v>
      </c>
      <c r="E44" s="16">
        <v>0</v>
      </c>
      <c r="F44" s="48">
        <v>0</v>
      </c>
    </row>
    <row r="45" spans="1:6" s="19" customFormat="1" ht="21">
      <c r="A45" s="71" t="s">
        <v>145</v>
      </c>
      <c r="B45" s="20">
        <f>SUM(C45:F45)</f>
        <v>0</v>
      </c>
      <c r="C45" s="16">
        <v>0</v>
      </c>
      <c r="D45" s="16">
        <v>0</v>
      </c>
      <c r="E45" s="16">
        <v>0</v>
      </c>
      <c r="F45" s="48">
        <v>0</v>
      </c>
    </row>
    <row r="46" spans="1:6" s="19" customFormat="1" ht="21">
      <c r="A46" s="71" t="s">
        <v>146</v>
      </c>
      <c r="B46" s="20">
        <f>SUM(C46:F46)</f>
        <v>0</v>
      </c>
      <c r="C46" s="16">
        <v>0</v>
      </c>
      <c r="D46" s="16">
        <v>0</v>
      </c>
      <c r="E46" s="16">
        <v>0</v>
      </c>
      <c r="F46" s="48">
        <v>0</v>
      </c>
    </row>
    <row r="47" spans="1:6" s="19" customFormat="1" ht="21">
      <c r="A47" s="71" t="s">
        <v>147</v>
      </c>
      <c r="B47" s="20">
        <f>SUM(C47:F47)</f>
        <v>1</v>
      </c>
      <c r="C47" s="16">
        <f>C34/$B34</f>
        <v>0</v>
      </c>
      <c r="D47" s="16">
        <f>D34/$B34</f>
        <v>0</v>
      </c>
      <c r="E47" s="16">
        <f>E34/$B34</f>
        <v>0</v>
      </c>
      <c r="F47" s="48">
        <f>F34/$B34</f>
        <v>1</v>
      </c>
    </row>
    <row r="48" spans="1:6" s="19" customFormat="1" ht="21">
      <c r="A48" s="72" t="s">
        <v>27</v>
      </c>
      <c r="B48" s="20">
        <f>SUM(C48:F48)</f>
        <v>3.9676084617850204E-07</v>
      </c>
      <c r="C48" s="20">
        <f>C41/$B$35</f>
        <v>0</v>
      </c>
      <c r="D48" s="20">
        <f>D41/$B$35</f>
        <v>0</v>
      </c>
      <c r="E48" s="20">
        <f>E41/$B$35</f>
        <v>0</v>
      </c>
      <c r="F48" s="52">
        <f>F41/$B$35</f>
        <v>3.9676084617850204E-07</v>
      </c>
    </row>
    <row r="49" spans="1:6" s="19" customFormat="1" ht="21">
      <c r="A49" s="72"/>
      <c r="B49" s="20"/>
      <c r="C49" s="20"/>
      <c r="D49" s="20"/>
      <c r="E49" s="20"/>
      <c r="F49" s="52"/>
    </row>
    <row r="50" spans="1:6" s="18" customFormat="1" ht="21">
      <c r="A50" s="65" t="s">
        <v>109</v>
      </c>
      <c r="B50" s="1"/>
      <c r="C50" s="20"/>
      <c r="D50" s="20"/>
      <c r="E50" s="20"/>
      <c r="F50" s="52"/>
    </row>
    <row r="51" spans="1:6" s="4" customFormat="1" ht="21">
      <c r="A51" s="71" t="s">
        <v>140</v>
      </c>
      <c r="B51" s="24">
        <f>B125/B18</f>
        <v>5.2232486264</v>
      </c>
      <c r="C51" s="1"/>
      <c r="D51" s="1"/>
      <c r="E51" s="1"/>
      <c r="F51" s="49"/>
    </row>
    <row r="52" spans="1:6" s="4" customFormat="1" ht="21">
      <c r="A52" s="71" t="s">
        <v>105</v>
      </c>
      <c r="B52" s="24">
        <f>B20/B18</f>
        <v>3.064532635440516</v>
      </c>
      <c r="C52" s="1"/>
      <c r="D52" s="1"/>
      <c r="E52" s="1"/>
      <c r="F52" s="49"/>
    </row>
    <row r="53" spans="1:6" s="4" customFormat="1" ht="42">
      <c r="A53" s="73" t="s">
        <v>107</v>
      </c>
      <c r="B53" s="24">
        <f>(B160+B161+B159)/B18</f>
        <v>0.365627403848</v>
      </c>
      <c r="C53" s="1"/>
      <c r="D53" s="1"/>
      <c r="E53" s="1"/>
      <c r="F53" s="49"/>
    </row>
    <row r="54" spans="1:6" s="4" customFormat="1" ht="21">
      <c r="A54" s="73" t="s">
        <v>126</v>
      </c>
      <c r="B54" s="24">
        <f>B199/B18</f>
        <v>0</v>
      </c>
      <c r="C54" s="1"/>
      <c r="D54" s="1"/>
      <c r="E54" s="1"/>
      <c r="F54" s="49"/>
    </row>
    <row r="55" spans="1:6" s="18" customFormat="1" ht="21">
      <c r="A55" s="74" t="s">
        <v>108</v>
      </c>
      <c r="B55" s="46">
        <f>B51+B52+B53+B54</f>
        <v>8.653408665688517</v>
      </c>
      <c r="C55" s="2"/>
      <c r="D55" s="2"/>
      <c r="E55" s="2"/>
      <c r="F55" s="51"/>
    </row>
    <row r="56" spans="1:6" s="4" customFormat="1" ht="21">
      <c r="A56" s="71"/>
      <c r="B56" s="1"/>
      <c r="C56" s="1"/>
      <c r="D56" s="1"/>
      <c r="E56" s="1"/>
      <c r="F56" s="49"/>
    </row>
    <row r="57" spans="1:6" s="4" customFormat="1" ht="21">
      <c r="A57" s="71" t="s">
        <v>106</v>
      </c>
      <c r="B57" s="24">
        <f>B173/B18</f>
        <v>15.752562431999994</v>
      </c>
      <c r="C57" s="1"/>
      <c r="D57" s="1"/>
      <c r="E57" s="1"/>
      <c r="F57" s="49"/>
    </row>
    <row r="58" spans="1:6" s="4" customFormat="1" ht="21">
      <c r="A58" s="71" t="s">
        <v>132</v>
      </c>
      <c r="B58" s="24">
        <f>B57-B55</f>
        <v>7.099153766311478</v>
      </c>
      <c r="C58" s="1"/>
      <c r="D58" s="1"/>
      <c r="E58" s="1"/>
      <c r="F58" s="49"/>
    </row>
    <row r="59" spans="1:6" s="4" customFormat="1" ht="21">
      <c r="A59" s="71" t="s">
        <v>133</v>
      </c>
      <c r="B59" s="16">
        <f>B58/B55</f>
        <v>0.8203881314955356</v>
      </c>
      <c r="C59" s="1"/>
      <c r="D59" s="1"/>
      <c r="E59" s="1"/>
      <c r="F59" s="49"/>
    </row>
    <row r="60" spans="1:6" s="4" customFormat="1" ht="21">
      <c r="A60" s="71"/>
      <c r="B60" s="1"/>
      <c r="C60" s="1"/>
      <c r="D60" s="1"/>
      <c r="E60" s="1"/>
      <c r="F60" s="49"/>
    </row>
    <row r="61" spans="1:6" s="4" customFormat="1" ht="21">
      <c r="A61" s="65" t="s">
        <v>134</v>
      </c>
      <c r="B61" s="3" t="s">
        <v>27</v>
      </c>
      <c r="C61" s="2"/>
      <c r="D61" s="2"/>
      <c r="E61" s="2"/>
      <c r="F61" s="51"/>
    </row>
    <row r="62" spans="1:6" s="4" customFormat="1" ht="21">
      <c r="A62" s="71" t="s">
        <v>129</v>
      </c>
      <c r="B62" s="2">
        <f>SUM(C62:F62)</f>
        <v>2600</v>
      </c>
      <c r="C62" s="1">
        <v>2600</v>
      </c>
      <c r="D62" s="1">
        <v>0</v>
      </c>
      <c r="E62" s="1">
        <v>0</v>
      </c>
      <c r="F62" s="49">
        <v>0</v>
      </c>
    </row>
    <row r="63" spans="1:6" s="4" customFormat="1" ht="21">
      <c r="A63" s="71" t="s">
        <v>71</v>
      </c>
      <c r="B63" s="2">
        <f aca="true" t="shared" si="2" ref="B63:B81">SUM(C63:F63)</f>
        <v>16000</v>
      </c>
      <c r="C63" s="1">
        <v>16000</v>
      </c>
      <c r="D63" s="1">
        <v>0</v>
      </c>
      <c r="E63" s="1">
        <v>0</v>
      </c>
      <c r="F63" s="49">
        <v>0</v>
      </c>
    </row>
    <row r="64" spans="1:6" s="4" customFormat="1" ht="21">
      <c r="A64" s="71" t="s">
        <v>72</v>
      </c>
      <c r="B64" s="2">
        <f t="shared" si="2"/>
        <v>108000</v>
      </c>
      <c r="C64" s="1">
        <v>99600</v>
      </c>
      <c r="D64" s="1">
        <v>8400</v>
      </c>
      <c r="E64" s="1">
        <v>0</v>
      </c>
      <c r="F64" s="49">
        <v>0</v>
      </c>
    </row>
    <row r="65" spans="1:6" s="4" customFormat="1" ht="21">
      <c r="A65" s="71" t="s">
        <v>73</v>
      </c>
      <c r="B65" s="2">
        <f t="shared" si="2"/>
        <v>30000</v>
      </c>
      <c r="C65" s="1">
        <v>22500</v>
      </c>
      <c r="D65" s="1">
        <v>7500</v>
      </c>
      <c r="E65" s="1">
        <v>0</v>
      </c>
      <c r="F65" s="49">
        <v>0</v>
      </c>
    </row>
    <row r="66" spans="1:6" s="4" customFormat="1" ht="21">
      <c r="A66" s="71" t="s">
        <v>74</v>
      </c>
      <c r="B66" s="2">
        <f t="shared" si="2"/>
        <v>7600</v>
      </c>
      <c r="C66" s="1">
        <v>4750</v>
      </c>
      <c r="D66" s="1">
        <v>2850</v>
      </c>
      <c r="E66" s="1">
        <v>0</v>
      </c>
      <c r="F66" s="49">
        <v>0</v>
      </c>
    </row>
    <row r="67" spans="1:6" s="4" customFormat="1" ht="21">
      <c r="A67" s="71" t="s">
        <v>76</v>
      </c>
      <c r="B67" s="2">
        <f t="shared" si="2"/>
        <v>41000</v>
      </c>
      <c r="C67" s="1">
        <v>20500</v>
      </c>
      <c r="D67" s="1">
        <v>20500</v>
      </c>
      <c r="E67" s="1">
        <v>0</v>
      </c>
      <c r="F67" s="49">
        <v>0</v>
      </c>
    </row>
    <row r="68" spans="1:6" s="4" customFormat="1" ht="21">
      <c r="A68" s="71" t="s">
        <v>75</v>
      </c>
      <c r="B68" s="2">
        <f t="shared" si="2"/>
        <v>42000</v>
      </c>
      <c r="C68" s="1">
        <v>8400</v>
      </c>
      <c r="D68" s="1">
        <v>31500</v>
      </c>
      <c r="E68" s="1">
        <v>2100</v>
      </c>
      <c r="F68" s="49">
        <v>0</v>
      </c>
    </row>
    <row r="69" spans="1:6" s="4" customFormat="1" ht="21">
      <c r="A69" s="71" t="s">
        <v>77</v>
      </c>
      <c r="B69" s="2">
        <f t="shared" si="2"/>
        <v>50000</v>
      </c>
      <c r="C69" s="1">
        <v>0</v>
      </c>
      <c r="D69" s="1">
        <v>39600</v>
      </c>
      <c r="E69" s="1">
        <v>10400</v>
      </c>
      <c r="F69" s="49">
        <v>0</v>
      </c>
    </row>
    <row r="70" spans="1:6" s="4" customFormat="1" ht="21">
      <c r="A70" s="71" t="s">
        <v>78</v>
      </c>
      <c r="B70" s="2">
        <f t="shared" si="2"/>
        <v>11000</v>
      </c>
      <c r="C70" s="1">
        <v>0</v>
      </c>
      <c r="D70" s="1">
        <v>4900</v>
      </c>
      <c r="E70" s="1">
        <v>6100</v>
      </c>
      <c r="F70" s="49">
        <v>0</v>
      </c>
    </row>
    <row r="71" spans="1:6" s="4" customFormat="1" ht="21">
      <c r="A71" s="71" t="s">
        <v>79</v>
      </c>
      <c r="B71" s="2">
        <f t="shared" si="2"/>
        <v>5000</v>
      </c>
      <c r="C71" s="1">
        <v>0</v>
      </c>
      <c r="D71" s="1">
        <v>0</v>
      </c>
      <c r="E71" s="1">
        <v>3300</v>
      </c>
      <c r="F71" s="49">
        <v>1700</v>
      </c>
    </row>
    <row r="72" spans="1:6" s="4" customFormat="1" ht="21">
      <c r="A72" s="71" t="s">
        <v>89</v>
      </c>
      <c r="B72" s="2">
        <f t="shared" si="2"/>
        <v>53000</v>
      </c>
      <c r="C72" s="1">
        <v>10600</v>
      </c>
      <c r="D72" s="1">
        <v>19600</v>
      </c>
      <c r="E72" s="1">
        <v>22800</v>
      </c>
      <c r="F72" s="49">
        <v>0</v>
      </c>
    </row>
    <row r="73" spans="1:6" s="4" customFormat="1" ht="21">
      <c r="A73" s="71" t="s">
        <v>80</v>
      </c>
      <c r="B73" s="2">
        <f t="shared" si="2"/>
        <v>18000</v>
      </c>
      <c r="C73" s="1">
        <v>0</v>
      </c>
      <c r="D73" s="1">
        <v>0</v>
      </c>
      <c r="E73" s="1">
        <v>13500</v>
      </c>
      <c r="F73" s="49">
        <v>4500</v>
      </c>
    </row>
    <row r="74" spans="1:6" s="4" customFormat="1" ht="21">
      <c r="A74" s="71" t="s">
        <v>81</v>
      </c>
      <c r="B74" s="2">
        <f t="shared" si="2"/>
        <v>13000</v>
      </c>
      <c r="C74" s="1">
        <v>0</v>
      </c>
      <c r="D74" s="1">
        <v>3250</v>
      </c>
      <c r="E74" s="1">
        <v>9750</v>
      </c>
      <c r="F74" s="49">
        <v>0</v>
      </c>
    </row>
    <row r="75" spans="1:6" s="4" customFormat="1" ht="21">
      <c r="A75" s="71" t="s">
        <v>82</v>
      </c>
      <c r="B75" s="2">
        <f t="shared" si="2"/>
        <v>35000</v>
      </c>
      <c r="C75" s="1">
        <v>0</v>
      </c>
      <c r="D75" s="1">
        <v>8750</v>
      </c>
      <c r="E75" s="1">
        <v>21000</v>
      </c>
      <c r="F75" s="49">
        <v>5250</v>
      </c>
    </row>
    <row r="76" spans="1:6" s="4" customFormat="1" ht="21">
      <c r="A76" s="71" t="s">
        <v>83</v>
      </c>
      <c r="B76" s="2">
        <f t="shared" si="2"/>
        <v>76000</v>
      </c>
      <c r="C76" s="1">
        <v>0</v>
      </c>
      <c r="D76" s="1">
        <v>30400</v>
      </c>
      <c r="E76" s="1">
        <v>28500</v>
      </c>
      <c r="F76" s="49">
        <v>17100</v>
      </c>
    </row>
    <row r="77" spans="1:6" s="4" customFormat="1" ht="21">
      <c r="A77" s="71" t="s">
        <v>84</v>
      </c>
      <c r="B77" s="2">
        <f t="shared" si="2"/>
        <v>10000</v>
      </c>
      <c r="C77" s="1">
        <v>2850</v>
      </c>
      <c r="D77" s="1">
        <v>2850</v>
      </c>
      <c r="E77" s="1">
        <v>2850</v>
      </c>
      <c r="F77" s="49">
        <v>1450</v>
      </c>
    </row>
    <row r="78" spans="1:6" s="4" customFormat="1" ht="21">
      <c r="A78" s="72" t="s">
        <v>110</v>
      </c>
      <c r="B78" s="2">
        <f t="shared" si="2"/>
        <v>518200</v>
      </c>
      <c r="C78" s="2">
        <f>SUM(C62:C77)</f>
        <v>187800</v>
      </c>
      <c r="D78" s="2">
        <f>SUM(D62:D77)</f>
        <v>180100</v>
      </c>
      <c r="E78" s="2">
        <f>SUM(E62:E77)</f>
        <v>120300</v>
      </c>
      <c r="F78" s="51">
        <f>SUM(F62:F77)</f>
        <v>30000</v>
      </c>
    </row>
    <row r="79" spans="1:6" s="4" customFormat="1" ht="21">
      <c r="A79" s="71" t="s">
        <v>85</v>
      </c>
      <c r="B79" s="2">
        <f t="shared" si="2"/>
        <v>20728</v>
      </c>
      <c r="C79" s="1">
        <f>0.04*C78</f>
        <v>7512</v>
      </c>
      <c r="D79" s="1">
        <f>0.04*D78</f>
        <v>7204</v>
      </c>
      <c r="E79" s="1">
        <f>0.04*E78</f>
        <v>4812</v>
      </c>
      <c r="F79" s="49">
        <f>0.04*F78</f>
        <v>1200</v>
      </c>
    </row>
    <row r="80" spans="1:6" s="4" customFormat="1" ht="21">
      <c r="A80" s="71" t="s">
        <v>86</v>
      </c>
      <c r="B80" s="2">
        <f t="shared" si="2"/>
        <v>77730</v>
      </c>
      <c r="C80" s="1">
        <f>0.15*C78</f>
        <v>28170</v>
      </c>
      <c r="D80" s="1">
        <f>0.15*D78</f>
        <v>27015</v>
      </c>
      <c r="E80" s="1">
        <f>0.15*E78</f>
        <v>18045</v>
      </c>
      <c r="F80" s="49">
        <f>0.15*F78</f>
        <v>4500</v>
      </c>
    </row>
    <row r="81" spans="1:6" s="4" customFormat="1" ht="21">
      <c r="A81" s="72" t="s">
        <v>88</v>
      </c>
      <c r="B81" s="2">
        <f t="shared" si="2"/>
        <v>616658</v>
      </c>
      <c r="C81" s="2">
        <f>SUM(C78:C80)</f>
        <v>223482</v>
      </c>
      <c r="D81" s="2">
        <f>SUM(D78:D80)</f>
        <v>214319</v>
      </c>
      <c r="E81" s="2">
        <f>SUM(E78:E80)</f>
        <v>143157</v>
      </c>
      <c r="F81" s="51">
        <f>SUM(F78:F80)</f>
        <v>35700</v>
      </c>
    </row>
    <row r="82" spans="1:6" s="4" customFormat="1" ht="21">
      <c r="A82" s="71"/>
      <c r="B82" s="1"/>
      <c r="C82" s="1"/>
      <c r="D82" s="1"/>
      <c r="E82" s="1"/>
      <c r="F82" s="49"/>
    </row>
    <row r="83" spans="1:6" s="4" customFormat="1" ht="21">
      <c r="A83" s="65" t="s">
        <v>135</v>
      </c>
      <c r="B83" s="3" t="s">
        <v>27</v>
      </c>
      <c r="C83" s="2"/>
      <c r="D83" s="2"/>
      <c r="E83" s="2"/>
      <c r="F83" s="51"/>
    </row>
    <row r="84" spans="1:6" s="4" customFormat="1" ht="21">
      <c r="A84" s="71" t="s">
        <v>129</v>
      </c>
      <c r="B84" s="20">
        <f>SUM(C84:F84)</f>
        <v>0.004216275471979606</v>
      </c>
      <c r="C84" s="16">
        <f>C62/$B$81</f>
        <v>0.004216275471979606</v>
      </c>
      <c r="D84" s="16">
        <f>D62/$B$81</f>
        <v>0</v>
      </c>
      <c r="E84" s="16">
        <f>E62/$B$81</f>
        <v>0</v>
      </c>
      <c r="F84" s="48">
        <f>F62/$B$81</f>
        <v>0</v>
      </c>
    </row>
    <row r="85" spans="1:6" s="4" customFormat="1" ht="21">
      <c r="A85" s="71" t="s">
        <v>71</v>
      </c>
      <c r="B85" s="20">
        <f aca="true" t="shared" si="3" ref="B85:B103">SUM(C85:F85)</f>
        <v>0.025946310596797577</v>
      </c>
      <c r="C85" s="16">
        <f aca="true" t="shared" si="4" ref="C85:F99">C63/$B$81</f>
        <v>0.025946310596797577</v>
      </c>
      <c r="D85" s="16">
        <f t="shared" si="4"/>
        <v>0</v>
      </c>
      <c r="E85" s="16">
        <f t="shared" si="4"/>
        <v>0</v>
      </c>
      <c r="F85" s="48">
        <f t="shared" si="4"/>
        <v>0</v>
      </c>
    </row>
    <row r="86" spans="1:6" s="4" customFormat="1" ht="21">
      <c r="A86" s="71" t="s">
        <v>72</v>
      </c>
      <c r="B86" s="20">
        <f t="shared" si="3"/>
        <v>0.17513759652838365</v>
      </c>
      <c r="C86" s="16">
        <f t="shared" si="4"/>
        <v>0.16151578346506493</v>
      </c>
      <c r="D86" s="16">
        <f t="shared" si="4"/>
        <v>0.013621813063318727</v>
      </c>
      <c r="E86" s="16">
        <f t="shared" si="4"/>
        <v>0</v>
      </c>
      <c r="F86" s="48">
        <f t="shared" si="4"/>
        <v>0</v>
      </c>
    </row>
    <row r="87" spans="1:6" s="4" customFormat="1" ht="21">
      <c r="A87" s="71" t="s">
        <v>73</v>
      </c>
      <c r="B87" s="20">
        <f t="shared" si="3"/>
        <v>0.048649332368995456</v>
      </c>
      <c r="C87" s="16">
        <f t="shared" si="4"/>
        <v>0.03648699927674659</v>
      </c>
      <c r="D87" s="16">
        <f t="shared" si="4"/>
        <v>0.012162333092248864</v>
      </c>
      <c r="E87" s="16">
        <f t="shared" si="4"/>
        <v>0</v>
      </c>
      <c r="F87" s="48">
        <f t="shared" si="4"/>
        <v>0</v>
      </c>
    </row>
    <row r="88" spans="1:6" s="4" customFormat="1" ht="21">
      <c r="A88" s="71" t="s">
        <v>74</v>
      </c>
      <c r="B88" s="20">
        <f t="shared" si="3"/>
        <v>0.012324497533478848</v>
      </c>
      <c r="C88" s="16">
        <f t="shared" si="4"/>
        <v>0.007702810958424281</v>
      </c>
      <c r="D88" s="16">
        <f t="shared" si="4"/>
        <v>0.004621686575054568</v>
      </c>
      <c r="E88" s="16">
        <f t="shared" si="4"/>
        <v>0</v>
      </c>
      <c r="F88" s="48">
        <f t="shared" si="4"/>
        <v>0</v>
      </c>
    </row>
    <row r="89" spans="1:6" s="4" customFormat="1" ht="21">
      <c r="A89" s="71" t="s">
        <v>76</v>
      </c>
      <c r="B89" s="20">
        <f t="shared" si="3"/>
        <v>0.06648742090429378</v>
      </c>
      <c r="C89" s="16">
        <f t="shared" si="4"/>
        <v>0.03324371045214689</v>
      </c>
      <c r="D89" s="16">
        <f t="shared" si="4"/>
        <v>0.03324371045214689</v>
      </c>
      <c r="E89" s="16">
        <f t="shared" si="4"/>
        <v>0</v>
      </c>
      <c r="F89" s="48">
        <f t="shared" si="4"/>
        <v>0</v>
      </c>
    </row>
    <row r="90" spans="1:6" s="4" customFormat="1" ht="21">
      <c r="A90" s="71" t="s">
        <v>75</v>
      </c>
      <c r="B90" s="20">
        <f t="shared" si="3"/>
        <v>0.06810906531659364</v>
      </c>
      <c r="C90" s="16">
        <f t="shared" si="4"/>
        <v>0.013621813063318727</v>
      </c>
      <c r="D90" s="16">
        <f t="shared" si="4"/>
        <v>0.05108179898744523</v>
      </c>
      <c r="E90" s="16">
        <f t="shared" si="4"/>
        <v>0.0034054532658296817</v>
      </c>
      <c r="F90" s="48">
        <f t="shared" si="4"/>
        <v>0</v>
      </c>
    </row>
    <row r="91" spans="1:6" s="4" customFormat="1" ht="21">
      <c r="A91" s="71" t="s">
        <v>77</v>
      </c>
      <c r="B91" s="20">
        <f t="shared" si="3"/>
        <v>0.08108222061499243</v>
      </c>
      <c r="C91" s="16">
        <f t="shared" si="4"/>
        <v>0</v>
      </c>
      <c r="D91" s="16">
        <f t="shared" si="4"/>
        <v>0.064217118727074</v>
      </c>
      <c r="E91" s="16">
        <f t="shared" si="4"/>
        <v>0.016865101887918423</v>
      </c>
      <c r="F91" s="48">
        <f t="shared" si="4"/>
        <v>0</v>
      </c>
    </row>
    <row r="92" spans="1:6" s="4" customFormat="1" ht="21">
      <c r="A92" s="71" t="s">
        <v>78</v>
      </c>
      <c r="B92" s="20">
        <f t="shared" si="3"/>
        <v>0.017838088535298335</v>
      </c>
      <c r="C92" s="16">
        <f t="shared" si="4"/>
        <v>0</v>
      </c>
      <c r="D92" s="16">
        <f t="shared" si="4"/>
        <v>0.007946057620269257</v>
      </c>
      <c r="E92" s="16">
        <f t="shared" si="4"/>
        <v>0.009892030915029076</v>
      </c>
      <c r="F92" s="48">
        <f t="shared" si="4"/>
        <v>0</v>
      </c>
    </row>
    <row r="93" spans="1:6" s="4" customFormat="1" ht="21">
      <c r="A93" s="71" t="s">
        <v>79</v>
      </c>
      <c r="B93" s="20">
        <f t="shared" si="3"/>
        <v>0.008108222061499243</v>
      </c>
      <c r="C93" s="16">
        <f t="shared" si="4"/>
        <v>0</v>
      </c>
      <c r="D93" s="16">
        <f t="shared" si="4"/>
        <v>0</v>
      </c>
      <c r="E93" s="16">
        <f t="shared" si="4"/>
        <v>0.0053514265605895004</v>
      </c>
      <c r="F93" s="48">
        <f t="shared" si="4"/>
        <v>0.0027567955009097423</v>
      </c>
    </row>
    <row r="94" spans="1:6" s="4" customFormat="1" ht="21">
      <c r="A94" s="71" t="s">
        <v>89</v>
      </c>
      <c r="B94" s="20">
        <f t="shared" si="3"/>
        <v>0.08594715385189197</v>
      </c>
      <c r="C94" s="16">
        <f t="shared" si="4"/>
        <v>0.017189430770378395</v>
      </c>
      <c r="D94" s="16">
        <f t="shared" si="4"/>
        <v>0.03178423048107703</v>
      </c>
      <c r="E94" s="16">
        <f t="shared" si="4"/>
        <v>0.036973492600436544</v>
      </c>
      <c r="F94" s="48">
        <f t="shared" si="4"/>
        <v>0</v>
      </c>
    </row>
    <row r="95" spans="1:6" s="4" customFormat="1" ht="21">
      <c r="A95" s="71" t="s">
        <v>80</v>
      </c>
      <c r="B95" s="20">
        <f t="shared" si="3"/>
        <v>0.029189599421397275</v>
      </c>
      <c r="C95" s="16">
        <f t="shared" si="4"/>
        <v>0</v>
      </c>
      <c r="D95" s="16">
        <f t="shared" si="4"/>
        <v>0</v>
      </c>
      <c r="E95" s="16">
        <f t="shared" si="4"/>
        <v>0.021892199566047956</v>
      </c>
      <c r="F95" s="48">
        <f t="shared" si="4"/>
        <v>0.007297399855349319</v>
      </c>
    </row>
    <row r="96" spans="1:6" s="4" customFormat="1" ht="21">
      <c r="A96" s="71" t="s">
        <v>81</v>
      </c>
      <c r="B96" s="20">
        <f t="shared" si="3"/>
        <v>0.02108137735989803</v>
      </c>
      <c r="C96" s="16">
        <f t="shared" si="4"/>
        <v>0</v>
      </c>
      <c r="D96" s="16">
        <f t="shared" si="4"/>
        <v>0.0052703443399745075</v>
      </c>
      <c r="E96" s="16">
        <f t="shared" si="4"/>
        <v>0.015811033019923523</v>
      </c>
      <c r="F96" s="48">
        <f t="shared" si="4"/>
        <v>0</v>
      </c>
    </row>
    <row r="97" spans="1:6" s="4" customFormat="1" ht="21">
      <c r="A97" s="71" t="s">
        <v>82</v>
      </c>
      <c r="B97" s="20">
        <f t="shared" si="3"/>
        <v>0.0567575544304947</v>
      </c>
      <c r="C97" s="16">
        <f t="shared" si="4"/>
        <v>0</v>
      </c>
      <c r="D97" s="16">
        <f t="shared" si="4"/>
        <v>0.014189388607623674</v>
      </c>
      <c r="E97" s="16">
        <f t="shared" si="4"/>
        <v>0.03405453265829682</v>
      </c>
      <c r="F97" s="48">
        <f t="shared" si="4"/>
        <v>0.008513633164574205</v>
      </c>
    </row>
    <row r="98" spans="1:6" s="4" customFormat="1" ht="21">
      <c r="A98" s="71" t="s">
        <v>83</v>
      </c>
      <c r="B98" s="20">
        <f t="shared" si="3"/>
        <v>0.12324497533478848</v>
      </c>
      <c r="C98" s="16">
        <f t="shared" si="4"/>
        <v>0</v>
      </c>
      <c r="D98" s="16">
        <f t="shared" si="4"/>
        <v>0.04929799013391539</v>
      </c>
      <c r="E98" s="16">
        <f t="shared" si="4"/>
        <v>0.046216865750545684</v>
      </c>
      <c r="F98" s="48">
        <f t="shared" si="4"/>
        <v>0.02773011945032741</v>
      </c>
    </row>
    <row r="99" spans="1:6" s="4" customFormat="1" ht="21">
      <c r="A99" s="71" t="s">
        <v>84</v>
      </c>
      <c r="B99" s="20">
        <f t="shared" si="3"/>
        <v>0.016216444122998483</v>
      </c>
      <c r="C99" s="16">
        <f t="shared" si="4"/>
        <v>0.004621686575054568</v>
      </c>
      <c r="D99" s="16">
        <f t="shared" si="4"/>
        <v>0.004621686575054568</v>
      </c>
      <c r="E99" s="16">
        <f t="shared" si="4"/>
        <v>0.004621686575054568</v>
      </c>
      <c r="F99" s="48">
        <f t="shared" si="4"/>
        <v>0.0023513843978347805</v>
      </c>
    </row>
    <row r="100" spans="1:6" s="18" customFormat="1" ht="21">
      <c r="A100" s="72" t="s">
        <v>110</v>
      </c>
      <c r="B100" s="20">
        <f t="shared" si="3"/>
        <v>0.8403361344537815</v>
      </c>
      <c r="C100" s="20">
        <f aca="true" t="shared" si="5" ref="C100:F103">C78/$B$81</f>
        <v>0.30454482062991156</v>
      </c>
      <c r="D100" s="20">
        <f t="shared" si="5"/>
        <v>0.29205815865520274</v>
      </c>
      <c r="E100" s="20">
        <f t="shared" si="5"/>
        <v>0.1950838227996718</v>
      </c>
      <c r="F100" s="52">
        <f t="shared" si="5"/>
        <v>0.048649332368995456</v>
      </c>
    </row>
    <row r="101" spans="1:6" s="4" customFormat="1" ht="21">
      <c r="A101" s="71" t="s">
        <v>85</v>
      </c>
      <c r="B101" s="20">
        <f t="shared" si="3"/>
        <v>0.03361344537815126</v>
      </c>
      <c r="C101" s="16">
        <f t="shared" si="5"/>
        <v>0.012181792825196462</v>
      </c>
      <c r="D101" s="16">
        <f t="shared" si="5"/>
        <v>0.011682326346208109</v>
      </c>
      <c r="E101" s="16">
        <f t="shared" si="5"/>
        <v>0.007803352911986871</v>
      </c>
      <c r="F101" s="48">
        <f t="shared" si="5"/>
        <v>0.0019459732947598183</v>
      </c>
    </row>
    <row r="102" spans="1:6" s="4" customFormat="1" ht="21">
      <c r="A102" s="71" t="s">
        <v>86</v>
      </c>
      <c r="B102" s="20">
        <f t="shared" si="3"/>
        <v>0.12605042016806722</v>
      </c>
      <c r="C102" s="16">
        <f t="shared" si="5"/>
        <v>0.04568172309448673</v>
      </c>
      <c r="D102" s="16">
        <f t="shared" si="5"/>
        <v>0.04380872379828041</v>
      </c>
      <c r="E102" s="16">
        <f t="shared" si="5"/>
        <v>0.029262573419950765</v>
      </c>
      <c r="F102" s="48">
        <f t="shared" si="5"/>
        <v>0.007297399855349319</v>
      </c>
    </row>
    <row r="103" spans="1:6" s="18" customFormat="1" ht="21">
      <c r="A103" s="72" t="s">
        <v>88</v>
      </c>
      <c r="B103" s="20">
        <f t="shared" si="3"/>
        <v>1</v>
      </c>
      <c r="C103" s="20">
        <f t="shared" si="5"/>
        <v>0.36240833654959476</v>
      </c>
      <c r="D103" s="20">
        <f t="shared" si="5"/>
        <v>0.34754920879969126</v>
      </c>
      <c r="E103" s="20">
        <f t="shared" si="5"/>
        <v>0.2321497491316094</v>
      </c>
      <c r="F103" s="52">
        <f t="shared" si="5"/>
        <v>0.057892705519104595</v>
      </c>
    </row>
    <row r="104" spans="1:6" s="4" customFormat="1" ht="21">
      <c r="A104" s="72"/>
      <c r="B104" s="42"/>
      <c r="C104" s="42"/>
      <c r="D104" s="42"/>
      <c r="E104" s="42"/>
      <c r="F104" s="53"/>
    </row>
    <row r="105" spans="1:6" s="4" customFormat="1" ht="21">
      <c r="A105" s="65" t="s">
        <v>136</v>
      </c>
      <c r="B105" s="3" t="s">
        <v>27</v>
      </c>
      <c r="C105" s="2"/>
      <c r="D105" s="2"/>
      <c r="E105" s="2"/>
      <c r="F105" s="51"/>
    </row>
    <row r="106" spans="1:6" s="4" customFormat="1" ht="21">
      <c r="A106" s="71" t="s">
        <v>129</v>
      </c>
      <c r="B106" s="2">
        <f>SUM(C106:F106)</f>
        <v>3016</v>
      </c>
      <c r="C106" s="1">
        <f aca="true" t="shared" si="6" ref="C106:C121">C62*(1+C$13)</f>
        <v>3016</v>
      </c>
      <c r="D106" s="1">
        <f aca="true" t="shared" si="7" ref="D106:D121">D62*(1+D$13)*(1+C$13)</f>
        <v>0</v>
      </c>
      <c r="E106" s="1">
        <f aca="true" t="shared" si="8" ref="E106:E121">E62*(1+E$13)*(1+D$13)*(1+C$13)</f>
        <v>0</v>
      </c>
      <c r="F106" s="49">
        <f aca="true" t="shared" si="9" ref="F106:F121">F62*(1+F$13)*(1+E$13)*(1+D$13)*(1+C$13)</f>
        <v>0</v>
      </c>
    </row>
    <row r="107" spans="1:6" s="4" customFormat="1" ht="21">
      <c r="A107" s="71" t="s">
        <v>71</v>
      </c>
      <c r="B107" s="2">
        <f aca="true" t="shared" si="10" ref="B107:B125">SUM(C107:F107)</f>
        <v>18560</v>
      </c>
      <c r="C107" s="1">
        <f t="shared" si="6"/>
        <v>18560</v>
      </c>
      <c r="D107" s="1">
        <f t="shared" si="7"/>
        <v>0</v>
      </c>
      <c r="E107" s="1">
        <f t="shared" si="8"/>
        <v>0</v>
      </c>
      <c r="F107" s="49">
        <f t="shared" si="9"/>
        <v>0</v>
      </c>
    </row>
    <row r="108" spans="1:6" s="4" customFormat="1" ht="21">
      <c r="A108" s="71" t="s">
        <v>72</v>
      </c>
      <c r="B108" s="2">
        <f t="shared" si="10"/>
        <v>126839.03999999998</v>
      </c>
      <c r="C108" s="1">
        <f t="shared" si="6"/>
        <v>115535.99999999999</v>
      </c>
      <c r="D108" s="1">
        <f t="shared" si="7"/>
        <v>11303.039999999999</v>
      </c>
      <c r="E108" s="1">
        <f t="shared" si="8"/>
        <v>0</v>
      </c>
      <c r="F108" s="49">
        <f t="shared" si="9"/>
        <v>0</v>
      </c>
    </row>
    <row r="109" spans="1:6" s="4" customFormat="1" ht="21">
      <c r="A109" s="71" t="s">
        <v>73</v>
      </c>
      <c r="B109" s="2">
        <f t="shared" si="10"/>
        <v>36192</v>
      </c>
      <c r="C109" s="1">
        <f t="shared" si="6"/>
        <v>26100</v>
      </c>
      <c r="D109" s="1">
        <f t="shared" si="7"/>
        <v>10092</v>
      </c>
      <c r="E109" s="1">
        <f t="shared" si="8"/>
        <v>0</v>
      </c>
      <c r="F109" s="49">
        <f t="shared" si="9"/>
        <v>0</v>
      </c>
    </row>
    <row r="110" spans="1:6" s="4" customFormat="1" ht="21">
      <c r="A110" s="71" t="s">
        <v>74</v>
      </c>
      <c r="B110" s="2">
        <f t="shared" si="10"/>
        <v>9344.96</v>
      </c>
      <c r="C110" s="1">
        <f t="shared" si="6"/>
        <v>5510</v>
      </c>
      <c r="D110" s="1">
        <f t="shared" si="7"/>
        <v>3834.959999999999</v>
      </c>
      <c r="E110" s="1">
        <f t="shared" si="8"/>
        <v>0</v>
      </c>
      <c r="F110" s="49">
        <f t="shared" si="9"/>
        <v>0</v>
      </c>
    </row>
    <row r="111" spans="1:6" s="18" customFormat="1" ht="21">
      <c r="A111" s="71" t="s">
        <v>76</v>
      </c>
      <c r="B111" s="2">
        <f t="shared" si="10"/>
        <v>51364.8</v>
      </c>
      <c r="C111" s="1">
        <f t="shared" si="6"/>
        <v>23780</v>
      </c>
      <c r="D111" s="1">
        <f t="shared" si="7"/>
        <v>27584.8</v>
      </c>
      <c r="E111" s="1">
        <f t="shared" si="8"/>
        <v>0</v>
      </c>
      <c r="F111" s="49">
        <f t="shared" si="9"/>
        <v>0</v>
      </c>
    </row>
    <row r="112" spans="1:6" s="18" customFormat="1" ht="21">
      <c r="A112" s="71" t="s">
        <v>75</v>
      </c>
      <c r="B112" s="2">
        <f t="shared" si="10"/>
        <v>55408.281599999995</v>
      </c>
      <c r="C112" s="1">
        <f t="shared" si="6"/>
        <v>9744</v>
      </c>
      <c r="D112" s="1">
        <f t="shared" si="7"/>
        <v>42386.399999999994</v>
      </c>
      <c r="E112" s="1">
        <f t="shared" si="8"/>
        <v>3277.8815999999997</v>
      </c>
      <c r="F112" s="49">
        <f t="shared" si="9"/>
        <v>0</v>
      </c>
    </row>
    <row r="113" spans="1:6" s="18" customFormat="1" ht="21">
      <c r="A113" s="71" t="s">
        <v>77</v>
      </c>
      <c r="B113" s="2">
        <f t="shared" si="10"/>
        <v>69519.0784</v>
      </c>
      <c r="C113" s="1">
        <f t="shared" si="6"/>
        <v>0</v>
      </c>
      <c r="D113" s="1">
        <f t="shared" si="7"/>
        <v>53285.759999999995</v>
      </c>
      <c r="E113" s="1">
        <f t="shared" si="8"/>
        <v>16233.318399999998</v>
      </c>
      <c r="F113" s="49">
        <f t="shared" si="9"/>
        <v>0</v>
      </c>
    </row>
    <row r="114" spans="1:6" s="18" customFormat="1" ht="21">
      <c r="A114" s="71" t="s">
        <v>78</v>
      </c>
      <c r="B114" s="2">
        <f t="shared" si="10"/>
        <v>16114.905599999998</v>
      </c>
      <c r="C114" s="1">
        <f t="shared" si="6"/>
        <v>0</v>
      </c>
      <c r="D114" s="1">
        <f t="shared" si="7"/>
        <v>6593.44</v>
      </c>
      <c r="E114" s="1">
        <f t="shared" si="8"/>
        <v>9521.465599999998</v>
      </c>
      <c r="F114" s="49">
        <f t="shared" si="9"/>
        <v>0</v>
      </c>
    </row>
    <row r="115" spans="1:6" s="18" customFormat="1" ht="21">
      <c r="A115" s="71" t="s">
        <v>79</v>
      </c>
      <c r="B115" s="2">
        <f t="shared" si="10"/>
        <v>8229.043711999999</v>
      </c>
      <c r="C115" s="1">
        <f t="shared" si="6"/>
        <v>0</v>
      </c>
      <c r="D115" s="1">
        <f t="shared" si="7"/>
        <v>0</v>
      </c>
      <c r="E115" s="1">
        <f t="shared" si="8"/>
        <v>5150.956799999999</v>
      </c>
      <c r="F115" s="49">
        <f t="shared" si="9"/>
        <v>3078.086911999999</v>
      </c>
    </row>
    <row r="116" spans="1:6" s="18" customFormat="1" ht="21">
      <c r="A116" s="71" t="s">
        <v>89</v>
      </c>
      <c r="B116" s="2">
        <f t="shared" si="10"/>
        <v>74258.18879999997</v>
      </c>
      <c r="C116" s="1">
        <f t="shared" si="6"/>
        <v>12296</v>
      </c>
      <c r="D116" s="1">
        <f t="shared" si="7"/>
        <v>26373.76</v>
      </c>
      <c r="E116" s="1">
        <f t="shared" si="8"/>
        <v>35588.42879999999</v>
      </c>
      <c r="F116" s="49">
        <f t="shared" si="9"/>
        <v>0</v>
      </c>
    </row>
    <row r="117" spans="1:6" s="18" customFormat="1" ht="21">
      <c r="A117" s="71" t="s">
        <v>80</v>
      </c>
      <c r="B117" s="2">
        <f t="shared" si="10"/>
        <v>29219.97311999999</v>
      </c>
      <c r="C117" s="1">
        <f t="shared" si="6"/>
        <v>0</v>
      </c>
      <c r="D117" s="1">
        <f t="shared" si="7"/>
        <v>0</v>
      </c>
      <c r="E117" s="1">
        <f t="shared" si="8"/>
        <v>21072.095999999994</v>
      </c>
      <c r="F117" s="49">
        <f t="shared" si="9"/>
        <v>8147.877119999998</v>
      </c>
    </row>
    <row r="118" spans="1:6" s="25" customFormat="1" ht="21">
      <c r="A118" s="71" t="s">
        <v>81</v>
      </c>
      <c r="B118" s="2">
        <f t="shared" si="10"/>
        <v>19591.935999999994</v>
      </c>
      <c r="C118" s="1">
        <f t="shared" si="6"/>
        <v>0</v>
      </c>
      <c r="D118" s="1">
        <f t="shared" si="7"/>
        <v>4373.199999999999</v>
      </c>
      <c r="E118" s="1">
        <f t="shared" si="8"/>
        <v>15218.735999999997</v>
      </c>
      <c r="F118" s="49">
        <f t="shared" si="9"/>
        <v>0</v>
      </c>
    </row>
    <row r="119" spans="1:6" s="4" customFormat="1" ht="21">
      <c r="A119" s="71" t="s">
        <v>82</v>
      </c>
      <c r="B119" s="2">
        <f t="shared" si="10"/>
        <v>54058.67264</v>
      </c>
      <c r="C119" s="1">
        <f t="shared" si="6"/>
        <v>0</v>
      </c>
      <c r="D119" s="1">
        <f t="shared" si="7"/>
        <v>11774</v>
      </c>
      <c r="E119" s="1">
        <f t="shared" si="8"/>
        <v>32778.816</v>
      </c>
      <c r="F119" s="49">
        <f t="shared" si="9"/>
        <v>9505.856639999998</v>
      </c>
    </row>
    <row r="120" spans="1:6" s="17" customFormat="1" ht="21">
      <c r="A120" s="71" t="s">
        <v>83</v>
      </c>
      <c r="B120" s="2">
        <f t="shared" si="10"/>
        <v>116353.70905599998</v>
      </c>
      <c r="C120" s="1">
        <f t="shared" si="6"/>
        <v>0</v>
      </c>
      <c r="D120" s="1">
        <f t="shared" si="7"/>
        <v>40906.24</v>
      </c>
      <c r="E120" s="1">
        <f t="shared" si="8"/>
        <v>44485.53599999999</v>
      </c>
      <c r="F120" s="49">
        <f t="shared" si="9"/>
        <v>30961.933055999994</v>
      </c>
    </row>
    <row r="121" spans="1:6" s="4" customFormat="1" ht="21">
      <c r="A121" s="71" t="s">
        <v>84</v>
      </c>
      <c r="B121" s="2">
        <f t="shared" si="10"/>
        <v>14214.940671999997</v>
      </c>
      <c r="C121" s="1">
        <f t="shared" si="6"/>
        <v>3305.9999999999995</v>
      </c>
      <c r="D121" s="1">
        <f t="shared" si="7"/>
        <v>3834.959999999999</v>
      </c>
      <c r="E121" s="1">
        <f t="shared" si="8"/>
        <v>4448.553599999998</v>
      </c>
      <c r="F121" s="49">
        <f t="shared" si="9"/>
        <v>2625.427071999999</v>
      </c>
    </row>
    <row r="122" spans="1:6" s="4" customFormat="1" ht="21">
      <c r="A122" s="72" t="s">
        <v>110</v>
      </c>
      <c r="B122" s="2">
        <f t="shared" si="10"/>
        <v>702285.5295999999</v>
      </c>
      <c r="C122" s="2">
        <f>SUM(C106:C121)</f>
        <v>217848</v>
      </c>
      <c r="D122" s="2">
        <f>SUM(D106:D121)</f>
        <v>242342.56</v>
      </c>
      <c r="E122" s="2">
        <f>SUM(E106:E121)</f>
        <v>187775.78879999995</v>
      </c>
      <c r="F122" s="51">
        <f>SUM(F106:F121)</f>
        <v>54319.18079999999</v>
      </c>
    </row>
    <row r="123" spans="1:6" s="19" customFormat="1" ht="21">
      <c r="A123" s="71" t="s">
        <v>85</v>
      </c>
      <c r="B123" s="2">
        <f t="shared" si="10"/>
        <v>28091.421184</v>
      </c>
      <c r="C123" s="1">
        <f>0.04*C122</f>
        <v>8713.92</v>
      </c>
      <c r="D123" s="1">
        <f>0.04*D122</f>
        <v>9693.7024</v>
      </c>
      <c r="E123" s="1">
        <f>0.04*E122</f>
        <v>7511.031551999999</v>
      </c>
      <c r="F123" s="49">
        <f>0.04*F122</f>
        <v>2172.7672319999997</v>
      </c>
    </row>
    <row r="124" spans="1:6" s="19" customFormat="1" ht="21">
      <c r="A124" s="71" t="s">
        <v>86</v>
      </c>
      <c r="B124" s="2">
        <f t="shared" si="10"/>
        <v>105342.82944</v>
      </c>
      <c r="C124" s="1">
        <f>0.15*C122</f>
        <v>32677.199999999997</v>
      </c>
      <c r="D124" s="1">
        <f>0.15*D122</f>
        <v>36351.384</v>
      </c>
      <c r="E124" s="1">
        <f>0.15*E122</f>
        <v>28166.36831999999</v>
      </c>
      <c r="F124" s="49">
        <f>0.15*F122</f>
        <v>8147.877119999997</v>
      </c>
    </row>
    <row r="125" spans="1:6" s="19" customFormat="1" ht="21">
      <c r="A125" s="72" t="s">
        <v>88</v>
      </c>
      <c r="B125" s="2">
        <f t="shared" si="10"/>
        <v>835719.780224</v>
      </c>
      <c r="C125" s="2">
        <f>SUM(C122:C124)</f>
        <v>259239.12</v>
      </c>
      <c r="D125" s="2">
        <f>SUM(D122:D124)</f>
        <v>288387.6464</v>
      </c>
      <c r="E125" s="2">
        <f>SUM(E122:E124)</f>
        <v>223453.18867199993</v>
      </c>
      <c r="F125" s="51">
        <f>SUM(F122:F124)</f>
        <v>64639.82515199998</v>
      </c>
    </row>
    <row r="126" spans="1:6" s="19" customFormat="1" ht="21">
      <c r="A126" s="71"/>
      <c r="B126" s="1"/>
      <c r="C126" s="1"/>
      <c r="D126" s="1"/>
      <c r="E126" s="1"/>
      <c r="F126" s="49"/>
    </row>
    <row r="127" spans="1:6" s="19" customFormat="1" ht="21">
      <c r="A127" s="65" t="s">
        <v>137</v>
      </c>
      <c r="B127" s="3" t="s">
        <v>27</v>
      </c>
      <c r="C127" s="2"/>
      <c r="D127" s="2"/>
      <c r="E127" s="2"/>
      <c r="F127" s="51"/>
    </row>
    <row r="128" spans="1:6" s="19" customFormat="1" ht="21">
      <c r="A128" s="71" t="s">
        <v>129</v>
      </c>
      <c r="B128" s="20">
        <f>SUM(C128:F128)</f>
        <v>0.003608865161946525</v>
      </c>
      <c r="C128" s="16">
        <f>C106/$B$125</f>
        <v>0.003608865161946525</v>
      </c>
      <c r="D128" s="16">
        <f>D106/$B$125</f>
        <v>0</v>
      </c>
      <c r="E128" s="16">
        <f>E106/$B$125</f>
        <v>0</v>
      </c>
      <c r="F128" s="48">
        <f>F106/$B$125</f>
        <v>0</v>
      </c>
    </row>
    <row r="129" spans="1:6" s="19" customFormat="1" ht="21">
      <c r="A129" s="71" t="s">
        <v>71</v>
      </c>
      <c r="B129" s="20">
        <f aca="true" t="shared" si="11" ref="B129:B147">SUM(C129:F129)</f>
        <v>0.022208400996594</v>
      </c>
      <c r="C129" s="16">
        <f aca="true" t="shared" si="12" ref="C129:F147">C107/$B$125</f>
        <v>0.022208400996594</v>
      </c>
      <c r="D129" s="16">
        <f t="shared" si="12"/>
        <v>0</v>
      </c>
      <c r="E129" s="16">
        <f t="shared" si="12"/>
        <v>0</v>
      </c>
      <c r="F129" s="48">
        <f t="shared" si="12"/>
        <v>0</v>
      </c>
    </row>
    <row r="130" spans="1:6" s="19" customFormat="1" ht="21">
      <c r="A130" s="71" t="s">
        <v>72</v>
      </c>
      <c r="B130" s="20">
        <f t="shared" si="11"/>
        <v>0.1517722124107234</v>
      </c>
      <c r="C130" s="16">
        <f t="shared" si="12"/>
        <v>0.13824729620379764</v>
      </c>
      <c r="D130" s="16">
        <f t="shared" si="12"/>
        <v>0.013524916206925745</v>
      </c>
      <c r="E130" s="16">
        <f t="shared" si="12"/>
        <v>0</v>
      </c>
      <c r="F130" s="48">
        <f t="shared" si="12"/>
        <v>0</v>
      </c>
    </row>
    <row r="131" spans="1:6" s="19" customFormat="1" ht="21">
      <c r="A131" s="71" t="s">
        <v>73</v>
      </c>
      <c r="B131" s="20">
        <f t="shared" si="11"/>
        <v>0.0433063819433583</v>
      </c>
      <c r="C131" s="16">
        <f t="shared" si="12"/>
        <v>0.031230563901460312</v>
      </c>
      <c r="D131" s="16">
        <f t="shared" si="12"/>
        <v>0.012075818041897987</v>
      </c>
      <c r="E131" s="16">
        <f t="shared" si="12"/>
        <v>0</v>
      </c>
      <c r="F131" s="48">
        <f t="shared" si="12"/>
        <v>0</v>
      </c>
    </row>
    <row r="132" spans="1:6" s="17" customFormat="1" ht="21">
      <c r="A132" s="71" t="s">
        <v>74</v>
      </c>
      <c r="B132" s="20">
        <f t="shared" si="11"/>
        <v>0.011181929901785077</v>
      </c>
      <c r="C132" s="16">
        <f t="shared" si="12"/>
        <v>0.006593119045863844</v>
      </c>
      <c r="D132" s="16">
        <f t="shared" si="12"/>
        <v>0.0045888108559212345</v>
      </c>
      <c r="E132" s="16">
        <f t="shared" si="12"/>
        <v>0</v>
      </c>
      <c r="F132" s="48">
        <f t="shared" si="12"/>
        <v>0</v>
      </c>
    </row>
    <row r="133" spans="1:6" s="21" customFormat="1" ht="21">
      <c r="A133" s="71" t="s">
        <v>76</v>
      </c>
      <c r="B133" s="20">
        <f t="shared" si="11"/>
        <v>0.06146174975807389</v>
      </c>
      <c r="C133" s="16">
        <f t="shared" si="12"/>
        <v>0.028454513776886063</v>
      </c>
      <c r="D133" s="16">
        <f t="shared" si="12"/>
        <v>0.03300723598118783</v>
      </c>
      <c r="E133" s="16">
        <f t="shared" si="12"/>
        <v>0</v>
      </c>
      <c r="F133" s="48">
        <f t="shared" si="12"/>
        <v>0</v>
      </c>
    </row>
    <row r="134" spans="1:6" s="21" customFormat="1" ht="21">
      <c r="A134" s="71" t="s">
        <v>75</v>
      </c>
      <c r="B134" s="20">
        <f t="shared" si="11"/>
        <v>0.06630007199919186</v>
      </c>
      <c r="C134" s="16">
        <f t="shared" si="12"/>
        <v>0.01165941052321185</v>
      </c>
      <c r="D134" s="16">
        <f t="shared" si="12"/>
        <v>0.05071843577597154</v>
      </c>
      <c r="E134" s="16">
        <f t="shared" si="12"/>
        <v>0.003922225700008466</v>
      </c>
      <c r="F134" s="48">
        <f t="shared" si="12"/>
        <v>0</v>
      </c>
    </row>
    <row r="135" spans="1:6" s="18" customFormat="1" ht="21">
      <c r="A135" s="71" t="s">
        <v>77</v>
      </c>
      <c r="B135" s="20">
        <f t="shared" si="11"/>
        <v>0.08318467510888235</v>
      </c>
      <c r="C135" s="16">
        <f t="shared" si="12"/>
        <v>0</v>
      </c>
      <c r="D135" s="16">
        <f t="shared" si="12"/>
        <v>0.06376031926122137</v>
      </c>
      <c r="E135" s="16">
        <f t="shared" si="12"/>
        <v>0.019424355847660973</v>
      </c>
      <c r="F135" s="48">
        <f t="shared" si="12"/>
        <v>0</v>
      </c>
    </row>
    <row r="136" spans="1:6" s="18" customFormat="1" ht="21">
      <c r="A136" s="71" t="s">
        <v>78</v>
      </c>
      <c r="B136" s="20">
        <f t="shared" si="11"/>
        <v>0.0192826662493027</v>
      </c>
      <c r="C136" s="16">
        <f t="shared" si="12"/>
        <v>0</v>
      </c>
      <c r="D136" s="16">
        <f t="shared" si="12"/>
        <v>0.007889534454040018</v>
      </c>
      <c r="E136" s="16">
        <f t="shared" si="12"/>
        <v>0.011393131795262685</v>
      </c>
      <c r="F136" s="48">
        <f t="shared" si="12"/>
        <v>0</v>
      </c>
    </row>
    <row r="137" spans="1:6" s="18" customFormat="1" ht="21">
      <c r="A137" s="71" t="s">
        <v>79</v>
      </c>
      <c r="B137" s="20">
        <f t="shared" si="11"/>
        <v>0.009846654233545062</v>
      </c>
      <c r="C137" s="16">
        <f t="shared" si="12"/>
        <v>0</v>
      </c>
      <c r="D137" s="16">
        <f t="shared" si="12"/>
        <v>0</v>
      </c>
      <c r="E137" s="16">
        <f t="shared" si="12"/>
        <v>0.006163497528584732</v>
      </c>
      <c r="F137" s="48">
        <f t="shared" si="12"/>
        <v>0.00368315670496033</v>
      </c>
    </row>
    <row r="138" spans="1:6" s="18" customFormat="1" ht="21">
      <c r="A138" s="71" t="s">
        <v>89</v>
      </c>
      <c r="B138" s="20">
        <f t="shared" si="11"/>
        <v>0.08885536821935264</v>
      </c>
      <c r="C138" s="16">
        <f t="shared" si="12"/>
        <v>0.014713065660243526</v>
      </c>
      <c r="D138" s="16">
        <f t="shared" si="12"/>
        <v>0.03155813781616007</v>
      </c>
      <c r="E138" s="16">
        <f t="shared" si="12"/>
        <v>0.04258416474294905</v>
      </c>
      <c r="F138" s="48">
        <f t="shared" si="12"/>
        <v>0</v>
      </c>
    </row>
    <row r="139" spans="1:6" s="18" customFormat="1" ht="21">
      <c r="A139" s="71" t="s">
        <v>80</v>
      </c>
      <c r="B139" s="20">
        <f t="shared" si="11"/>
        <v>0.03496384052578975</v>
      </c>
      <c r="C139" s="16">
        <f t="shared" si="12"/>
        <v>0</v>
      </c>
      <c r="D139" s="16">
        <f t="shared" si="12"/>
        <v>0</v>
      </c>
      <c r="E139" s="16">
        <f t="shared" si="12"/>
        <v>0.02521430807148299</v>
      </c>
      <c r="F139" s="48">
        <f t="shared" si="12"/>
        <v>0.009749532454306757</v>
      </c>
    </row>
    <row r="140" spans="1:6" s="18" customFormat="1" ht="21">
      <c r="A140" s="71" t="s">
        <v>81</v>
      </c>
      <c r="B140" s="20">
        <f t="shared" si="11"/>
        <v>0.023443188092004623</v>
      </c>
      <c r="C140" s="16">
        <f t="shared" si="12"/>
        <v>0</v>
      </c>
      <c r="D140" s="16">
        <f t="shared" si="12"/>
        <v>0.00523285448482246</v>
      </c>
      <c r="E140" s="16">
        <f t="shared" si="12"/>
        <v>0.01821033360718216</v>
      </c>
      <c r="F140" s="48">
        <f t="shared" si="12"/>
        <v>0</v>
      </c>
    </row>
    <row r="141" spans="1:6" s="18" customFormat="1" ht="21">
      <c r="A141" s="71" t="s">
        <v>82</v>
      </c>
      <c r="B141" s="20">
        <f t="shared" si="11"/>
        <v>0.06468516591232353</v>
      </c>
      <c r="C141" s="16">
        <f t="shared" si="12"/>
        <v>0</v>
      </c>
      <c r="D141" s="16">
        <f t="shared" si="12"/>
        <v>0.01408845438221432</v>
      </c>
      <c r="E141" s="16">
        <f t="shared" si="12"/>
        <v>0.039222257000084665</v>
      </c>
      <c r="F141" s="48">
        <f t="shared" si="12"/>
        <v>0.01137445453002455</v>
      </c>
    </row>
    <row r="142" spans="1:6" s="18" customFormat="1" ht="21">
      <c r="A142" s="71" t="s">
        <v>83</v>
      </c>
      <c r="B142" s="20">
        <f t="shared" si="11"/>
        <v>0.13922574505154517</v>
      </c>
      <c r="C142" s="16">
        <f t="shared" si="12"/>
        <v>0</v>
      </c>
      <c r="D142" s="16">
        <f t="shared" si="12"/>
        <v>0.048947315796493175</v>
      </c>
      <c r="E142" s="16">
        <f t="shared" si="12"/>
        <v>0.05323020592868632</v>
      </c>
      <c r="F142" s="48">
        <f t="shared" si="12"/>
        <v>0.037048223326365676</v>
      </c>
    </row>
    <row r="143" spans="1:6" s="18" customFormat="1" ht="21">
      <c r="A143" s="71" t="s">
        <v>84</v>
      </c>
      <c r="B143" s="20">
        <f t="shared" si="11"/>
        <v>0.01700921888936257</v>
      </c>
      <c r="C143" s="16">
        <f t="shared" si="12"/>
        <v>0.003955871427518306</v>
      </c>
      <c r="D143" s="16">
        <f t="shared" si="12"/>
        <v>0.0045888108559212345</v>
      </c>
      <c r="E143" s="16">
        <f t="shared" si="12"/>
        <v>0.005323020592868631</v>
      </c>
      <c r="F143" s="48">
        <f t="shared" si="12"/>
        <v>0.003141516013054399</v>
      </c>
    </row>
    <row r="144" spans="1:6" s="18" customFormat="1" ht="21">
      <c r="A144" s="72" t="s">
        <v>110</v>
      </c>
      <c r="B144" s="20">
        <f t="shared" si="11"/>
        <v>0.8403361344537814</v>
      </c>
      <c r="C144" s="20">
        <f t="shared" si="12"/>
        <v>0.2606711066975221</v>
      </c>
      <c r="D144" s="20">
        <f t="shared" si="12"/>
        <v>0.289980643912777</v>
      </c>
      <c r="E144" s="20">
        <f t="shared" si="12"/>
        <v>0.22468750081477065</v>
      </c>
      <c r="F144" s="52">
        <f t="shared" si="12"/>
        <v>0.06499688302871172</v>
      </c>
    </row>
    <row r="145" spans="1:6" s="18" customFormat="1" ht="21">
      <c r="A145" s="71" t="s">
        <v>85</v>
      </c>
      <c r="B145" s="20">
        <f t="shared" si="11"/>
        <v>0.03361344537815126</v>
      </c>
      <c r="C145" s="16">
        <f t="shared" si="12"/>
        <v>0.010426844267900883</v>
      </c>
      <c r="D145" s="16">
        <f t="shared" si="12"/>
        <v>0.01159922575651108</v>
      </c>
      <c r="E145" s="16">
        <f t="shared" si="12"/>
        <v>0.008987500032590827</v>
      </c>
      <c r="F145" s="48">
        <f t="shared" si="12"/>
        <v>0.0025998753211484687</v>
      </c>
    </row>
    <row r="146" spans="1:6" s="18" customFormat="1" ht="21">
      <c r="A146" s="71" t="s">
        <v>86</v>
      </c>
      <c r="B146" s="20">
        <f t="shared" si="11"/>
        <v>0.12605042016806722</v>
      </c>
      <c r="C146" s="16">
        <f t="shared" si="12"/>
        <v>0.03910066600462831</v>
      </c>
      <c r="D146" s="16">
        <f t="shared" si="12"/>
        <v>0.04349709658691655</v>
      </c>
      <c r="E146" s="16">
        <f t="shared" si="12"/>
        <v>0.0337031251222156</v>
      </c>
      <c r="F146" s="48">
        <f t="shared" si="12"/>
        <v>0.009749532454306755</v>
      </c>
    </row>
    <row r="147" spans="1:6" s="18" customFormat="1" ht="21">
      <c r="A147" s="72" t="s">
        <v>88</v>
      </c>
      <c r="B147" s="20">
        <f t="shared" si="11"/>
        <v>0.9999999999999998</v>
      </c>
      <c r="C147" s="20">
        <f t="shared" si="12"/>
        <v>0.31019861697005124</v>
      </c>
      <c r="D147" s="20">
        <f t="shared" si="12"/>
        <v>0.34507696625620465</v>
      </c>
      <c r="E147" s="20">
        <f t="shared" si="12"/>
        <v>0.26737812596957705</v>
      </c>
      <c r="F147" s="52">
        <f t="shared" si="12"/>
        <v>0.07734629080416694</v>
      </c>
    </row>
    <row r="148" spans="1:6" s="18" customFormat="1" ht="21">
      <c r="A148" s="72"/>
      <c r="B148" s="42"/>
      <c r="C148" s="42"/>
      <c r="D148" s="42"/>
      <c r="E148" s="42"/>
      <c r="F148" s="53"/>
    </row>
    <row r="149" spans="1:6" s="18" customFormat="1" ht="21">
      <c r="A149" s="65" t="s">
        <v>58</v>
      </c>
      <c r="B149" s="3"/>
      <c r="C149" s="2"/>
      <c r="D149" s="2"/>
      <c r="E149" s="2"/>
      <c r="F149" s="51"/>
    </row>
    <row r="150" spans="1:6" s="18" customFormat="1" ht="21">
      <c r="A150" s="71" t="s">
        <v>31</v>
      </c>
      <c r="B150" s="6"/>
      <c r="C150" s="1">
        <v>0</v>
      </c>
      <c r="D150" s="1">
        <f>C154</f>
        <v>0</v>
      </c>
      <c r="E150" s="1">
        <f>D154</f>
        <v>0</v>
      </c>
      <c r="F150" s="49">
        <f>E154</f>
        <v>0</v>
      </c>
    </row>
    <row r="151" spans="1:6" s="18" customFormat="1" ht="21">
      <c r="A151" s="71" t="s">
        <v>32</v>
      </c>
      <c r="B151" s="6"/>
      <c r="C151" s="1">
        <f>C21</f>
        <v>0</v>
      </c>
      <c r="D151" s="1">
        <f>D21</f>
        <v>0</v>
      </c>
      <c r="E151" s="1">
        <f>E21</f>
        <v>0</v>
      </c>
      <c r="F151" s="49">
        <v>0</v>
      </c>
    </row>
    <row r="152" spans="1:6" s="18" customFormat="1" ht="21">
      <c r="A152" s="71" t="s">
        <v>28</v>
      </c>
      <c r="B152" s="6"/>
      <c r="C152" s="1">
        <v>0</v>
      </c>
      <c r="D152" s="1">
        <v>0</v>
      </c>
      <c r="E152" s="1">
        <f>D154</f>
        <v>0</v>
      </c>
      <c r="F152" s="49">
        <f>E154</f>
        <v>0</v>
      </c>
    </row>
    <row r="153" spans="1:6" s="18" customFormat="1" ht="21">
      <c r="A153" s="71" t="s">
        <v>64</v>
      </c>
      <c r="B153" s="6"/>
      <c r="C153" s="1">
        <f>(0.02+C14)*(C151+C150-C152)</f>
        <v>0</v>
      </c>
      <c r="D153" s="1">
        <f>(0.02+D14)*(D151+D150-D152)</f>
        <v>0</v>
      </c>
      <c r="E153" s="1">
        <f>(0.02+E14)*(E151+E150-E152)</f>
        <v>0</v>
      </c>
      <c r="F153" s="49">
        <f>(0.02+F14)*(F151+F150-F152)</f>
        <v>0</v>
      </c>
    </row>
    <row r="154" spans="1:6" s="18" customFormat="1" ht="21">
      <c r="A154" s="71" t="s">
        <v>30</v>
      </c>
      <c r="B154" s="6"/>
      <c r="C154" s="1">
        <f>C150-C152+C153+C151</f>
        <v>0</v>
      </c>
      <c r="D154" s="1">
        <f>D150-D152+D153+D151</f>
        <v>0</v>
      </c>
      <c r="E154" s="1">
        <f>E150-E152+E153+E151</f>
        <v>0</v>
      </c>
      <c r="F154" s="49">
        <f>F150-F152+F153+F151</f>
        <v>0</v>
      </c>
    </row>
    <row r="155" spans="1:6" s="18" customFormat="1" ht="21">
      <c r="A155" s="72"/>
      <c r="B155" s="2"/>
      <c r="C155" s="2"/>
      <c r="D155" s="2"/>
      <c r="E155" s="2"/>
      <c r="F155" s="51"/>
    </row>
    <row r="156" spans="1:6" s="18" customFormat="1" ht="21">
      <c r="A156" s="65" t="s">
        <v>131</v>
      </c>
      <c r="B156" s="3"/>
      <c r="C156" s="20"/>
      <c r="D156" s="20"/>
      <c r="E156" s="20"/>
      <c r="F156" s="52"/>
    </row>
    <row r="157" spans="1:6" s="18" customFormat="1" ht="21">
      <c r="A157" s="71" t="s">
        <v>48</v>
      </c>
      <c r="B157" s="2">
        <f aca="true" t="shared" si="13" ref="B157:B162">SUM(C157:F157)</f>
        <v>490325.22167048254</v>
      </c>
      <c r="C157" s="1">
        <f>B20</f>
        <v>490325.22167048254</v>
      </c>
      <c r="D157" s="1">
        <f>C20</f>
        <v>0</v>
      </c>
      <c r="E157" s="1">
        <f>D20</f>
        <v>0</v>
      </c>
      <c r="F157" s="49">
        <f>E20</f>
        <v>0</v>
      </c>
    </row>
    <row r="158" spans="1:6" s="18" customFormat="1" ht="21">
      <c r="A158" s="71" t="s">
        <v>96</v>
      </c>
      <c r="B158" s="2">
        <f t="shared" si="13"/>
        <v>835719.780224</v>
      </c>
      <c r="C158" s="1">
        <f>C125</f>
        <v>259239.12</v>
      </c>
      <c r="D158" s="1">
        <f>D125</f>
        <v>288387.6464</v>
      </c>
      <c r="E158" s="1">
        <f>E125</f>
        <v>223453.18867199993</v>
      </c>
      <c r="F158" s="49">
        <f>F125</f>
        <v>64639.82515199998</v>
      </c>
    </row>
    <row r="159" spans="1:6" s="18" customFormat="1" ht="21">
      <c r="A159" s="71" t="s">
        <v>87</v>
      </c>
      <c r="B159" s="2">
        <f t="shared" si="13"/>
        <v>41785.9890112</v>
      </c>
      <c r="C159" s="1">
        <f>0.05*C125</f>
        <v>12961.956</v>
      </c>
      <c r="D159" s="1">
        <f>0.05*D125</f>
        <v>14419.382320000002</v>
      </c>
      <c r="E159" s="1">
        <f>0.05*E125</f>
        <v>11172.659433599998</v>
      </c>
      <c r="F159" s="49">
        <f>0.05*F125</f>
        <v>3231.9912575999992</v>
      </c>
    </row>
    <row r="160" spans="1:6" s="18" customFormat="1" ht="21">
      <c r="A160" s="71" t="s">
        <v>97</v>
      </c>
      <c r="B160" s="2">
        <f t="shared" si="13"/>
        <v>0</v>
      </c>
      <c r="C160" s="1">
        <f>C153</f>
        <v>0</v>
      </c>
      <c r="D160" s="1">
        <f>D153</f>
        <v>0</v>
      </c>
      <c r="E160" s="1">
        <f>E153</f>
        <v>0</v>
      </c>
      <c r="F160" s="49">
        <f>F153</f>
        <v>0</v>
      </c>
    </row>
    <row r="161" spans="1:6" s="18" customFormat="1" ht="21">
      <c r="A161" s="71" t="s">
        <v>98</v>
      </c>
      <c r="B161" s="2">
        <f t="shared" si="13"/>
        <v>16714.39560448</v>
      </c>
      <c r="C161" s="1">
        <f>0.02*C158</f>
        <v>5184.7824</v>
      </c>
      <c r="D161" s="1">
        <f>0.02*D158</f>
        <v>5767.752928000001</v>
      </c>
      <c r="E161" s="1">
        <f>0.02*E158</f>
        <v>4469.063773439999</v>
      </c>
      <c r="F161" s="49">
        <f>0.02*F158</f>
        <v>1292.7965030399996</v>
      </c>
    </row>
    <row r="162" spans="1:6" s="17" customFormat="1" ht="21">
      <c r="A162" s="75" t="s">
        <v>50</v>
      </c>
      <c r="B162" s="2">
        <f t="shared" si="13"/>
        <v>1384545.3865101624</v>
      </c>
      <c r="C162" s="7">
        <f>SUM(C157:C161)</f>
        <v>767711.0800704826</v>
      </c>
      <c r="D162" s="7">
        <f>SUM(D157:D161)</f>
        <v>308574.781648</v>
      </c>
      <c r="E162" s="7">
        <f>SUM(E157:E161)</f>
        <v>239094.91187903992</v>
      </c>
      <c r="F162" s="54">
        <f>SUM(F157:F161)</f>
        <v>69164.61291263998</v>
      </c>
    </row>
    <row r="163" spans="1:6" s="17" customFormat="1" ht="21">
      <c r="A163" s="71"/>
      <c r="B163" s="1"/>
      <c r="C163" s="1"/>
      <c r="D163" s="1"/>
      <c r="E163" s="1"/>
      <c r="F163" s="49"/>
    </row>
    <row r="164" spans="1:6" s="4" customFormat="1" ht="21">
      <c r="A164" s="65" t="s">
        <v>18</v>
      </c>
      <c r="B164" s="3"/>
      <c r="C164" s="18"/>
      <c r="D164" s="18"/>
      <c r="E164" s="2"/>
      <c r="F164" s="51"/>
    </row>
    <row r="165" spans="1:6" s="21" customFormat="1" ht="21">
      <c r="A165" s="71" t="s">
        <v>48</v>
      </c>
      <c r="B165" s="20">
        <f aca="true" t="shared" si="14" ref="B165:B170">SUM(C165:F165)</f>
        <v>0.35414167455093654</v>
      </c>
      <c r="C165" s="16">
        <f aca="true" t="shared" si="15" ref="C165:F167">C157/$B$162</f>
        <v>0.35414167455093654</v>
      </c>
      <c r="D165" s="16">
        <f t="shared" si="15"/>
        <v>0</v>
      </c>
      <c r="E165" s="16">
        <f t="shared" si="15"/>
        <v>0</v>
      </c>
      <c r="F165" s="48">
        <f t="shared" si="15"/>
        <v>0</v>
      </c>
    </row>
    <row r="166" spans="1:6" s="17" customFormat="1" ht="21">
      <c r="A166" s="71" t="s">
        <v>49</v>
      </c>
      <c r="B166" s="20">
        <f t="shared" si="14"/>
        <v>0.6036059116346388</v>
      </c>
      <c r="C166" s="16">
        <f t="shared" si="15"/>
        <v>0.18723771898401195</v>
      </c>
      <c r="D166" s="16">
        <f t="shared" si="15"/>
        <v>0.20829049680119194</v>
      </c>
      <c r="E166" s="16">
        <f t="shared" si="15"/>
        <v>0.1613910174770279</v>
      </c>
      <c r="F166" s="48">
        <f t="shared" si="15"/>
        <v>0.046686678372407066</v>
      </c>
    </row>
    <row r="167" spans="1:6" s="4" customFormat="1" ht="21">
      <c r="A167" s="71" t="s">
        <v>87</v>
      </c>
      <c r="B167" s="20">
        <f t="shared" si="14"/>
        <v>0.030180295581731943</v>
      </c>
      <c r="C167" s="16">
        <f t="shared" si="15"/>
        <v>0.009361885949200599</v>
      </c>
      <c r="D167" s="16">
        <f t="shared" si="15"/>
        <v>0.010414524840059598</v>
      </c>
      <c r="E167" s="16">
        <f t="shared" si="15"/>
        <v>0.008069550873851394</v>
      </c>
      <c r="F167" s="48">
        <f t="shared" si="15"/>
        <v>0.0023343339186203535</v>
      </c>
    </row>
    <row r="168" spans="1:6" s="4" customFormat="1" ht="21">
      <c r="A168" s="71" t="s">
        <v>14</v>
      </c>
      <c r="B168" s="20">
        <f t="shared" si="14"/>
        <v>0</v>
      </c>
      <c r="C168" s="16">
        <f>C160/$B$162</f>
        <v>0</v>
      </c>
      <c r="D168" s="16">
        <f>D160/$B$162</f>
        <v>0</v>
      </c>
      <c r="E168" s="16">
        <f>E160/$B$162</f>
        <v>0</v>
      </c>
      <c r="F168" s="48">
        <f>F160/$B$162</f>
        <v>0</v>
      </c>
    </row>
    <row r="169" spans="1:6" s="4" customFormat="1" ht="21">
      <c r="A169" s="71" t="s">
        <v>15</v>
      </c>
      <c r="B169" s="20">
        <f t="shared" si="14"/>
        <v>0.012072118232692776</v>
      </c>
      <c r="C169" s="16">
        <f aca="true" t="shared" si="16" ref="C169:F170">C161/$B$162</f>
        <v>0.003744754379680239</v>
      </c>
      <c r="D169" s="16">
        <f t="shared" si="16"/>
        <v>0.004165809936023839</v>
      </c>
      <c r="E169" s="16">
        <f t="shared" si="16"/>
        <v>0.0032278203495405577</v>
      </c>
      <c r="F169" s="48">
        <f t="shared" si="16"/>
        <v>0.0009337335674481413</v>
      </c>
    </row>
    <row r="170" spans="1:6" s="45" customFormat="1" ht="21">
      <c r="A170" s="72" t="s">
        <v>3</v>
      </c>
      <c r="B170" s="20">
        <f t="shared" si="14"/>
        <v>1</v>
      </c>
      <c r="C170" s="20">
        <f>C162/$B$162</f>
        <v>0.5544860338638293</v>
      </c>
      <c r="D170" s="20">
        <f t="shared" si="16"/>
        <v>0.22287083157727536</v>
      </c>
      <c r="E170" s="20">
        <f t="shared" si="16"/>
        <v>0.17268838870041983</v>
      </c>
      <c r="F170" s="52">
        <f t="shared" si="16"/>
        <v>0.049954745858475556</v>
      </c>
    </row>
    <row r="171" spans="1:6" s="17" customFormat="1" ht="21">
      <c r="A171" s="71"/>
      <c r="B171" s="1"/>
      <c r="C171" s="1"/>
      <c r="D171" s="1"/>
      <c r="E171" s="1"/>
      <c r="F171" s="49"/>
    </row>
    <row r="172" spans="1:6" s="4" customFormat="1" ht="21">
      <c r="A172" s="65" t="s">
        <v>91</v>
      </c>
      <c r="B172" s="27" t="s">
        <v>27</v>
      </c>
      <c r="C172" s="22"/>
      <c r="D172" s="22"/>
      <c r="E172" s="22"/>
      <c r="F172" s="55"/>
    </row>
    <row r="173" spans="1:6" s="21" customFormat="1" ht="21">
      <c r="A173" s="71" t="s">
        <v>94</v>
      </c>
      <c r="B173" s="2">
        <f>SUM(C173:F173)</f>
        <v>2520409.989119999</v>
      </c>
      <c r="C173" s="1">
        <f>C27*C26</f>
        <v>0</v>
      </c>
      <c r="D173" s="1">
        <f>D27*D26</f>
        <v>0</v>
      </c>
      <c r="E173" s="1">
        <f>E27*E26</f>
        <v>0</v>
      </c>
      <c r="F173" s="49">
        <f>F27*F26</f>
        <v>2520409.989119999</v>
      </c>
    </row>
    <row r="174" spans="1:6" s="4" customFormat="1" ht="21">
      <c r="A174" s="76" t="s">
        <v>93</v>
      </c>
      <c r="B174" s="42">
        <f>SUM(C174:F174)</f>
        <v>1</v>
      </c>
      <c r="C174" s="16">
        <f>C173/$B$173</f>
        <v>0</v>
      </c>
      <c r="D174" s="16">
        <f>D173/$B$173</f>
        <v>0</v>
      </c>
      <c r="E174" s="16">
        <f>E173/$B$173</f>
        <v>0</v>
      </c>
      <c r="F174" s="48">
        <f>F173/$B$173</f>
        <v>1</v>
      </c>
    </row>
    <row r="175" spans="1:6" s="18" customFormat="1" ht="21">
      <c r="A175" s="66"/>
      <c r="B175" s="12"/>
      <c r="C175" s="22"/>
      <c r="D175" s="22"/>
      <c r="E175" s="22"/>
      <c r="F175" s="55"/>
    </row>
    <row r="176" spans="1:6" s="4" customFormat="1" ht="21">
      <c r="A176" s="65" t="s">
        <v>95</v>
      </c>
      <c r="B176" s="3"/>
      <c r="C176" s="1"/>
      <c r="D176" s="1"/>
      <c r="E176" s="1"/>
      <c r="F176" s="49"/>
    </row>
    <row r="177" spans="1:6" s="4" customFormat="1" ht="21">
      <c r="A177" s="71" t="s">
        <v>48</v>
      </c>
      <c r="B177" s="2">
        <f>SUM(C177:F177)</f>
        <v>490325.22167048254</v>
      </c>
      <c r="C177" s="1">
        <f>B20</f>
        <v>490325.22167048254</v>
      </c>
      <c r="D177" s="1">
        <f>C20</f>
        <v>0</v>
      </c>
      <c r="E177" s="1">
        <f>D20</f>
        <v>0</v>
      </c>
      <c r="F177" s="49">
        <f>E20</f>
        <v>0</v>
      </c>
    </row>
    <row r="178" spans="1:6" s="4" customFormat="1" ht="21">
      <c r="A178" s="71" t="s">
        <v>49</v>
      </c>
      <c r="B178" s="2">
        <f>SUM(C178:F178)</f>
        <v>835719.780224</v>
      </c>
      <c r="C178" s="1">
        <f>C158</f>
        <v>259239.12</v>
      </c>
      <c r="D178" s="1">
        <f>D158</f>
        <v>288387.6464</v>
      </c>
      <c r="E178" s="1">
        <f>E158</f>
        <v>223453.18867199993</v>
      </c>
      <c r="F178" s="49">
        <f>F158</f>
        <v>64639.82515199998</v>
      </c>
    </row>
    <row r="179" spans="1:6" s="4" customFormat="1" ht="21">
      <c r="A179" s="72" t="s">
        <v>3</v>
      </c>
      <c r="B179" s="2">
        <f>SUM(C179:F179)</f>
        <v>1326045.0018944824</v>
      </c>
      <c r="C179" s="2">
        <f>SUM(C177:C178)</f>
        <v>749564.3416704825</v>
      </c>
      <c r="D179" s="2">
        <f>SUM(D177:D178)</f>
        <v>288387.6464</v>
      </c>
      <c r="E179" s="2">
        <f>SUM(E177:E178)</f>
        <v>223453.18867199993</v>
      </c>
      <c r="F179" s="51">
        <f>SUM(F177:F178)</f>
        <v>64639.82515199998</v>
      </c>
    </row>
    <row r="180" spans="1:6" ht="21">
      <c r="A180" s="72"/>
      <c r="B180" s="2"/>
      <c r="C180" s="2"/>
      <c r="D180" s="2"/>
      <c r="E180" s="2"/>
      <c r="F180" s="51"/>
    </row>
    <row r="181" spans="1:6" ht="21">
      <c r="A181" s="65" t="s">
        <v>65</v>
      </c>
      <c r="B181" s="3"/>
      <c r="C181" s="1"/>
      <c r="D181" s="1"/>
      <c r="E181" s="1"/>
      <c r="F181" s="49"/>
    </row>
    <row r="182" spans="1:6" ht="21">
      <c r="A182" s="71" t="s">
        <v>87</v>
      </c>
      <c r="B182" s="2">
        <f>SUM(C182:F182)</f>
        <v>41785.9890112</v>
      </c>
      <c r="C182" s="1">
        <f aca="true" t="shared" si="17" ref="C182:F184">C159</f>
        <v>12961.956</v>
      </c>
      <c r="D182" s="1">
        <f t="shared" si="17"/>
        <v>14419.382320000002</v>
      </c>
      <c r="E182" s="1">
        <f t="shared" si="17"/>
        <v>11172.659433599998</v>
      </c>
      <c r="F182" s="49">
        <f t="shared" si="17"/>
        <v>3231.9912575999992</v>
      </c>
    </row>
    <row r="183" spans="1:6" ht="21">
      <c r="A183" s="71" t="s">
        <v>14</v>
      </c>
      <c r="B183" s="2">
        <f>SUM(C183:F183)</f>
        <v>0</v>
      </c>
      <c r="C183" s="1">
        <f t="shared" si="17"/>
        <v>0</v>
      </c>
      <c r="D183" s="1">
        <f t="shared" si="17"/>
        <v>0</v>
      </c>
      <c r="E183" s="1">
        <f t="shared" si="17"/>
        <v>0</v>
      </c>
      <c r="F183" s="49">
        <f t="shared" si="17"/>
        <v>0</v>
      </c>
    </row>
    <row r="184" spans="1:6" ht="21">
      <c r="A184" s="71" t="s">
        <v>15</v>
      </c>
      <c r="B184" s="2">
        <f>SUM(C184:F184)</f>
        <v>16714.39560448</v>
      </c>
      <c r="C184" s="1">
        <f t="shared" si="17"/>
        <v>5184.7824</v>
      </c>
      <c r="D184" s="1">
        <f t="shared" si="17"/>
        <v>5767.752928000001</v>
      </c>
      <c r="E184" s="1">
        <f t="shared" si="17"/>
        <v>4469.063773439999</v>
      </c>
      <c r="F184" s="49">
        <f t="shared" si="17"/>
        <v>1292.7965030399996</v>
      </c>
    </row>
    <row r="185" spans="1:6" ht="21">
      <c r="A185" s="72" t="s">
        <v>3</v>
      </c>
      <c r="B185" s="2">
        <f>SUM(C185:F185)</f>
        <v>58500.38461568001</v>
      </c>
      <c r="C185" s="2">
        <f>SUM(C182:C184)</f>
        <v>18146.738400000002</v>
      </c>
      <c r="D185" s="2">
        <f>SUM(D182:D184)</f>
        <v>20187.135248000002</v>
      </c>
      <c r="E185" s="2">
        <f>SUM(E182:E184)</f>
        <v>15641.723207039997</v>
      </c>
      <c r="F185" s="51">
        <f>SUM(F182:F184)</f>
        <v>4524.787760639999</v>
      </c>
    </row>
    <row r="186" spans="1:6" s="4" customFormat="1" ht="21">
      <c r="A186" s="72"/>
      <c r="B186" s="2"/>
      <c r="C186" s="2"/>
      <c r="D186" s="2"/>
      <c r="E186" s="2"/>
      <c r="F186" s="51"/>
    </row>
    <row r="187" spans="1:6" s="4" customFormat="1" ht="21">
      <c r="A187" s="66" t="s">
        <v>125</v>
      </c>
      <c r="B187" s="27"/>
      <c r="C187" s="16"/>
      <c r="D187" s="16"/>
      <c r="E187" s="16"/>
      <c r="F187" s="48"/>
    </row>
    <row r="188" spans="1:6" s="4" customFormat="1" ht="21">
      <c r="A188" s="71" t="s">
        <v>100</v>
      </c>
      <c r="B188" s="2">
        <f>SUM(C188:F188)</f>
        <v>1194364.9872255167</v>
      </c>
      <c r="C188" s="1">
        <f>C173-C179</f>
        <v>-749564.3416704825</v>
      </c>
      <c r="D188" s="1">
        <f>D173-D179</f>
        <v>-288387.6464</v>
      </c>
      <c r="E188" s="1">
        <f>E173-E179</f>
        <v>-223453.18867199993</v>
      </c>
      <c r="F188" s="49">
        <f>F173-F179</f>
        <v>2455770.163967999</v>
      </c>
    </row>
    <row r="189" spans="1:6" s="4" customFormat="1" ht="21">
      <c r="A189" s="77"/>
      <c r="B189" s="17"/>
      <c r="C189" s="16"/>
      <c r="D189" s="16"/>
      <c r="E189" s="16"/>
      <c r="F189" s="48"/>
    </row>
    <row r="190" spans="1:6" s="4" customFormat="1" ht="21">
      <c r="A190" s="65" t="s">
        <v>24</v>
      </c>
      <c r="B190" s="3"/>
      <c r="C190" s="1"/>
      <c r="D190" s="1"/>
      <c r="E190" s="1"/>
      <c r="F190" s="49"/>
    </row>
    <row r="191" spans="1:6" s="4" customFormat="1" ht="21">
      <c r="A191" s="71" t="s">
        <v>23</v>
      </c>
      <c r="B191" s="2">
        <f aca="true" t="shared" si="18" ref="B191:B200">SUM(C191:F191)</f>
        <v>2520409.989119999</v>
      </c>
      <c r="C191" s="1">
        <f>C173</f>
        <v>0</v>
      </c>
      <c r="D191" s="1">
        <f>D173</f>
        <v>0</v>
      </c>
      <c r="E191" s="1">
        <f>E173</f>
        <v>0</v>
      </c>
      <c r="F191" s="49">
        <f>F173</f>
        <v>2520409.989119999</v>
      </c>
    </row>
    <row r="192" spans="1:6" s="4" customFormat="1" ht="21">
      <c r="A192" s="71" t="s">
        <v>47</v>
      </c>
      <c r="B192" s="2">
        <f t="shared" si="18"/>
        <v>1326045.0018944824</v>
      </c>
      <c r="C192" s="1">
        <f>C179</f>
        <v>749564.3416704825</v>
      </c>
      <c r="D192" s="1">
        <f>D179</f>
        <v>288387.6464</v>
      </c>
      <c r="E192" s="1">
        <f>E179</f>
        <v>223453.18867199993</v>
      </c>
      <c r="F192" s="49">
        <f>F179</f>
        <v>64639.82515199998</v>
      </c>
    </row>
    <row r="193" spans="1:6" s="4" customFormat="1" ht="21">
      <c r="A193" s="71" t="s">
        <v>20</v>
      </c>
      <c r="B193" s="2">
        <f t="shared" si="18"/>
        <v>1194364.9872255167</v>
      </c>
      <c r="C193" s="1">
        <f>C191-C192</f>
        <v>-749564.3416704825</v>
      </c>
      <c r="D193" s="1">
        <f>D191-D192</f>
        <v>-288387.6464</v>
      </c>
      <c r="E193" s="1">
        <f>E191-E192</f>
        <v>-223453.18867199993</v>
      </c>
      <c r="F193" s="49">
        <f>F191-F192</f>
        <v>2455770.163967999</v>
      </c>
    </row>
    <row r="194" spans="1:6" ht="21">
      <c r="A194" s="71" t="s">
        <v>130</v>
      </c>
      <c r="B194" s="2">
        <f t="shared" si="18"/>
        <v>41785.9890112</v>
      </c>
      <c r="C194" s="1">
        <f>C182</f>
        <v>12961.956</v>
      </c>
      <c r="D194" s="1">
        <f>D182</f>
        <v>14419.382320000002</v>
      </c>
      <c r="E194" s="1">
        <f>E182</f>
        <v>11172.659433599998</v>
      </c>
      <c r="F194" s="49">
        <f>F182</f>
        <v>3231.9912575999992</v>
      </c>
    </row>
    <row r="195" spans="1:6" ht="21">
      <c r="A195" s="71" t="s">
        <v>26</v>
      </c>
      <c r="B195" s="2">
        <f t="shared" si="18"/>
        <v>1152578.9982143168</v>
      </c>
      <c r="C195" s="1">
        <f>C193-C194</f>
        <v>-762526.2976704825</v>
      </c>
      <c r="D195" s="1">
        <f>D193-D194</f>
        <v>-302807.02872</v>
      </c>
      <c r="E195" s="1">
        <f>E193-E194</f>
        <v>-234625.84810559993</v>
      </c>
      <c r="F195" s="49">
        <f>F193-F194</f>
        <v>2452538.172710399</v>
      </c>
    </row>
    <row r="196" spans="1:6" ht="21">
      <c r="A196" s="71" t="s">
        <v>25</v>
      </c>
      <c r="B196" s="2">
        <f t="shared" si="18"/>
        <v>0</v>
      </c>
      <c r="C196" s="1">
        <f aca="true" t="shared" si="19" ref="C196:F197">C183</f>
        <v>0</v>
      </c>
      <c r="D196" s="1">
        <f t="shared" si="19"/>
        <v>0</v>
      </c>
      <c r="E196" s="1">
        <f t="shared" si="19"/>
        <v>0</v>
      </c>
      <c r="F196" s="49">
        <f t="shared" si="19"/>
        <v>0</v>
      </c>
    </row>
    <row r="197" spans="1:6" ht="21">
      <c r="A197" s="71" t="s">
        <v>101</v>
      </c>
      <c r="B197" s="2">
        <f t="shared" si="18"/>
        <v>16714.39560448</v>
      </c>
      <c r="C197" s="1">
        <f t="shared" si="19"/>
        <v>5184.7824</v>
      </c>
      <c r="D197" s="1">
        <f t="shared" si="19"/>
        <v>5767.752928000001</v>
      </c>
      <c r="E197" s="1">
        <f t="shared" si="19"/>
        <v>4469.063773439999</v>
      </c>
      <c r="F197" s="49">
        <f t="shared" si="19"/>
        <v>1292.7965030399996</v>
      </c>
    </row>
    <row r="198" spans="1:6" ht="21">
      <c r="A198" s="71" t="s">
        <v>51</v>
      </c>
      <c r="B198" s="2">
        <f t="shared" si="18"/>
        <v>1135864.6026098367</v>
      </c>
      <c r="C198" s="1">
        <f>C195-C196-C197</f>
        <v>-767711.0800704826</v>
      </c>
      <c r="D198" s="1">
        <f>D195-D196-D197</f>
        <v>-308574.781648</v>
      </c>
      <c r="E198" s="1">
        <f>E195-E196-E197</f>
        <v>-239094.91187903992</v>
      </c>
      <c r="F198" s="49">
        <f>F195-F196-F197</f>
        <v>2451245.376207359</v>
      </c>
    </row>
    <row r="199" spans="1:6" ht="21">
      <c r="A199" s="71" t="s">
        <v>52</v>
      </c>
      <c r="B199" s="2">
        <f t="shared" si="18"/>
        <v>0</v>
      </c>
      <c r="C199" s="1">
        <v>0</v>
      </c>
      <c r="D199" s="1">
        <v>0</v>
      </c>
      <c r="E199" s="1">
        <v>0</v>
      </c>
      <c r="F199" s="49">
        <v>0</v>
      </c>
    </row>
    <row r="200" spans="1:6" ht="21">
      <c r="A200" s="72" t="s">
        <v>19</v>
      </c>
      <c r="B200" s="2">
        <f t="shared" si="18"/>
        <v>1135864.6026098367</v>
      </c>
      <c r="C200" s="2">
        <f>C198-C199</f>
        <v>-767711.0800704826</v>
      </c>
      <c r="D200" s="2">
        <f>D198-D199</f>
        <v>-308574.781648</v>
      </c>
      <c r="E200" s="2">
        <f>E198-E199</f>
        <v>-239094.91187903992</v>
      </c>
      <c r="F200" s="51">
        <f>F198-F199</f>
        <v>2451245.376207359</v>
      </c>
    </row>
    <row r="201" spans="1:6" ht="21">
      <c r="A201" s="72"/>
      <c r="B201" s="2"/>
      <c r="C201" s="2"/>
      <c r="D201" s="2"/>
      <c r="E201" s="2"/>
      <c r="F201" s="51"/>
    </row>
    <row r="202" spans="1:6" ht="21">
      <c r="A202" s="65" t="s">
        <v>53</v>
      </c>
      <c r="B202" s="3"/>
      <c r="C202" s="1"/>
      <c r="D202" s="1"/>
      <c r="E202" s="1"/>
      <c r="F202" s="49"/>
    </row>
    <row r="203" spans="1:6" ht="21">
      <c r="A203" s="71" t="s">
        <v>19</v>
      </c>
      <c r="B203" s="2">
        <f>SUM(C203:F203)</f>
        <v>1135864.6026098367</v>
      </c>
      <c r="C203" s="1">
        <f>C200</f>
        <v>-767711.0800704826</v>
      </c>
      <c r="D203" s="1">
        <f>D200</f>
        <v>-308574.781648</v>
      </c>
      <c r="E203" s="1">
        <f>E200</f>
        <v>-239094.91187903992</v>
      </c>
      <c r="F203" s="49">
        <f>F200</f>
        <v>2451245.376207359</v>
      </c>
    </row>
    <row r="204" spans="1:6" s="28" customFormat="1" ht="21">
      <c r="A204" s="71" t="s">
        <v>54</v>
      </c>
      <c r="B204" s="2"/>
      <c r="C204" s="1">
        <v>0</v>
      </c>
      <c r="D204" s="1">
        <f>C208</f>
        <v>-767711.0800704826</v>
      </c>
      <c r="E204" s="1">
        <f>D208</f>
        <v>-1076285.8617184826</v>
      </c>
      <c r="F204" s="49">
        <f>E208</f>
        <v>-1315380.7735975224</v>
      </c>
    </row>
    <row r="205" spans="1:6" ht="21">
      <c r="A205" s="71" t="s">
        <v>55</v>
      </c>
      <c r="B205" s="2"/>
      <c r="C205" s="1">
        <f>C203+C204</f>
        <v>-767711.0800704826</v>
      </c>
      <c r="D205" s="1">
        <f>D203+D204</f>
        <v>-1076285.8617184826</v>
      </c>
      <c r="E205" s="1">
        <f>E203+E204</f>
        <v>-1315380.7735975224</v>
      </c>
      <c r="F205" s="49">
        <f>F203+F204</f>
        <v>1135864.6026098367</v>
      </c>
    </row>
    <row r="206" spans="1:6" s="4" customFormat="1" ht="21">
      <c r="A206" s="71" t="s">
        <v>56</v>
      </c>
      <c r="B206" s="2">
        <f>SUM(C206:F206)</f>
        <v>56793.23013049184</v>
      </c>
      <c r="C206" s="1">
        <f>IF(C205&lt;0,0,0.05*C205)</f>
        <v>0</v>
      </c>
      <c r="D206" s="1">
        <f>IF(D205&lt;0,0,0.05*D205)</f>
        <v>0</v>
      </c>
      <c r="E206" s="1">
        <f>IF(E205&lt;0,0,0.05*E205)</f>
        <v>0</v>
      </c>
      <c r="F206" s="49">
        <f>IF(F205&lt;0,0,0.05*F205)</f>
        <v>56793.23013049184</v>
      </c>
    </row>
    <row r="207" spans="1:6" s="4" customFormat="1" ht="21">
      <c r="A207" s="71" t="s">
        <v>22</v>
      </c>
      <c r="B207" s="2">
        <f>SUM(C207:F207)</f>
        <v>0</v>
      </c>
      <c r="C207" s="1">
        <v>0</v>
      </c>
      <c r="D207" s="1">
        <v>0</v>
      </c>
      <c r="E207" s="1">
        <v>0</v>
      </c>
      <c r="F207" s="49">
        <v>0</v>
      </c>
    </row>
    <row r="208" spans="1:6" s="4" customFormat="1" ht="21">
      <c r="A208" s="72" t="s">
        <v>57</v>
      </c>
      <c r="B208" s="2"/>
      <c r="C208" s="2">
        <f>C205-C206-C207</f>
        <v>-767711.0800704826</v>
      </c>
      <c r="D208" s="2">
        <f>D205-D206-D207</f>
        <v>-1076285.8617184826</v>
      </c>
      <c r="E208" s="2">
        <f>E205-E206-E207</f>
        <v>-1315380.7735975224</v>
      </c>
      <c r="F208" s="51">
        <f>F205-F206-F207</f>
        <v>1079071.372479345</v>
      </c>
    </row>
    <row r="209" spans="1:6" s="4" customFormat="1" ht="21">
      <c r="A209" s="72"/>
      <c r="B209" s="2"/>
      <c r="C209" s="2"/>
      <c r="D209" s="2"/>
      <c r="E209" s="2"/>
      <c r="F209" s="51"/>
    </row>
    <row r="210" spans="1:6" s="4" customFormat="1" ht="21">
      <c r="A210" s="65" t="s">
        <v>5</v>
      </c>
      <c r="B210" s="3"/>
      <c r="C210" s="1"/>
      <c r="D210" s="1"/>
      <c r="E210" s="1"/>
      <c r="F210" s="49"/>
    </row>
    <row r="211" spans="1:6" s="4" customFormat="1" ht="21">
      <c r="A211" s="71" t="s">
        <v>118</v>
      </c>
      <c r="B211" s="1"/>
      <c r="C211" s="4">
        <f>C194+C196+C197</f>
        <v>18146.738400000002</v>
      </c>
      <c r="D211" s="4">
        <f>D194+D196+D197</f>
        <v>20187.135248000002</v>
      </c>
      <c r="E211" s="4">
        <f>E194+E196+E197</f>
        <v>15641.723207039997</v>
      </c>
      <c r="F211" s="56">
        <f>F194+F196+F197</f>
        <v>4524.787760639999</v>
      </c>
    </row>
    <row r="212" spans="1:6" s="4" customFormat="1" ht="21">
      <c r="A212" s="71" t="s">
        <v>119</v>
      </c>
      <c r="B212" s="1"/>
      <c r="C212" s="1">
        <f>C192</f>
        <v>749564.3416704825</v>
      </c>
      <c r="D212" s="1">
        <f>D192</f>
        <v>288387.6464</v>
      </c>
      <c r="E212" s="1">
        <f>E192</f>
        <v>223453.18867199993</v>
      </c>
      <c r="F212" s="49">
        <f>F192</f>
        <v>64639.82515199998</v>
      </c>
    </row>
    <row r="213" spans="1:6" s="4" customFormat="1" ht="21">
      <c r="A213" s="72" t="s">
        <v>4</v>
      </c>
      <c r="B213" s="2"/>
      <c r="C213" s="2">
        <f>C211+C212</f>
        <v>767711.0800704826</v>
      </c>
      <c r="D213" s="2">
        <f>D211+D212</f>
        <v>308574.781648</v>
      </c>
      <c r="E213" s="2">
        <f>E211+E212</f>
        <v>239094.91187903992</v>
      </c>
      <c r="F213" s="51">
        <f>F211+F212</f>
        <v>69164.61291263998</v>
      </c>
    </row>
    <row r="214" spans="1:6" ht="21">
      <c r="A214" s="71"/>
      <c r="B214" s="1"/>
      <c r="C214" s="1"/>
      <c r="D214" s="1"/>
      <c r="E214" s="1"/>
      <c r="F214" s="49"/>
    </row>
    <row r="215" spans="1:6" ht="21">
      <c r="A215" s="65" t="s">
        <v>102</v>
      </c>
      <c r="B215" s="3"/>
      <c r="C215" s="1"/>
      <c r="D215" s="1"/>
      <c r="E215" s="1"/>
      <c r="F215" s="49"/>
    </row>
    <row r="216" spans="1:6" ht="21">
      <c r="A216" s="78" t="s">
        <v>6</v>
      </c>
      <c r="B216" s="24">
        <f>$B$162/(B200+B196)</f>
        <v>1.2189352351758656</v>
      </c>
      <c r="C216" s="24">
        <f>$B$162/(C200+C196)</f>
        <v>-1.8034719342373553</v>
      </c>
      <c r="D216" s="24">
        <f>$B$162/(D200+D196)</f>
        <v>-4.486903884743091</v>
      </c>
      <c r="E216" s="24">
        <f>$B$162/(E200+E196)</f>
        <v>-5.790777292703808</v>
      </c>
      <c r="F216" s="50">
        <f>$B$162/(F200+F196)</f>
        <v>0.5648334515789573</v>
      </c>
    </row>
    <row r="217" spans="1:6" ht="21">
      <c r="A217" s="71" t="s">
        <v>139</v>
      </c>
      <c r="B217" s="1">
        <f>B200+B196</f>
        <v>1135864.6026098367</v>
      </c>
      <c r="C217" s="1">
        <f>C200+C196</f>
        <v>-767711.0800704826</v>
      </c>
      <c r="D217" s="1">
        <f>D200+D196</f>
        <v>-308574.781648</v>
      </c>
      <c r="E217" s="1">
        <f>E200+E196</f>
        <v>-239094.91187903992</v>
      </c>
      <c r="F217" s="49">
        <f>F200+F196</f>
        <v>2451245.376207359</v>
      </c>
    </row>
    <row r="218" spans="1:6" ht="21">
      <c r="A218" s="71" t="s">
        <v>7</v>
      </c>
      <c r="B218" s="1"/>
      <c r="C218" s="1">
        <f>B218+C217</f>
        <v>-767711.0800704826</v>
      </c>
      <c r="D218" s="1">
        <f>C218+D217</f>
        <v>-1076285.8617184826</v>
      </c>
      <c r="E218" s="1">
        <f>D218+E217</f>
        <v>-1315380.7735975224</v>
      </c>
      <c r="F218" s="49">
        <f>E218+F217</f>
        <v>1135864.6026098367</v>
      </c>
    </row>
    <row r="219" spans="1:6" ht="21">
      <c r="A219" s="71"/>
      <c r="B219" s="1"/>
      <c r="C219" s="1"/>
      <c r="D219" s="1"/>
      <c r="E219" s="1"/>
      <c r="F219" s="49"/>
    </row>
    <row r="220" spans="1:6" ht="21">
      <c r="A220" s="78" t="s">
        <v>111</v>
      </c>
      <c r="B220" s="24">
        <f>$B$162/B200</f>
        <v>1.2189352351758656</v>
      </c>
      <c r="C220" s="24">
        <f>$B$162/C200</f>
        <v>-1.8034719342373553</v>
      </c>
      <c r="D220" s="24">
        <f>$B$162/D200</f>
        <v>-4.486903884743091</v>
      </c>
      <c r="E220" s="24">
        <f>$B$162/E200</f>
        <v>-5.790777292703808</v>
      </c>
      <c r="F220" s="50">
        <f>$B$162/F200</f>
        <v>0.5648334515789573</v>
      </c>
    </row>
    <row r="221" spans="1:6" ht="21">
      <c r="A221" s="71" t="s">
        <v>138</v>
      </c>
      <c r="B221" s="1">
        <f>B200</f>
        <v>1135864.6026098367</v>
      </c>
      <c r="C221" s="1">
        <f>C200</f>
        <v>-767711.0800704826</v>
      </c>
      <c r="D221" s="1">
        <f>D200</f>
        <v>-308574.781648</v>
      </c>
      <c r="E221" s="1">
        <f>E200</f>
        <v>-239094.91187903992</v>
      </c>
      <c r="F221" s="49">
        <f>F200</f>
        <v>2451245.376207359</v>
      </c>
    </row>
    <row r="222" spans="1:6" s="28" customFormat="1" ht="21">
      <c r="A222" s="71" t="s">
        <v>112</v>
      </c>
      <c r="B222" s="1"/>
      <c r="C222" s="1">
        <f>B222+C221</f>
        <v>-767711.0800704826</v>
      </c>
      <c r="D222" s="1">
        <f>C222+D221</f>
        <v>-1076285.8617184826</v>
      </c>
      <c r="E222" s="1">
        <f>D222+E221</f>
        <v>-1315380.7735975224</v>
      </c>
      <c r="F222" s="49">
        <f>E222+F221</f>
        <v>1135864.6026098367</v>
      </c>
    </row>
    <row r="223" spans="1:6" s="19" customFormat="1" ht="21">
      <c r="A223" s="71"/>
      <c r="B223" s="1"/>
      <c r="C223" s="1"/>
      <c r="D223" s="1"/>
      <c r="E223" s="1"/>
      <c r="F223" s="49"/>
    </row>
    <row r="224" spans="1:6" ht="21">
      <c r="A224" s="65" t="s">
        <v>62</v>
      </c>
      <c r="B224" s="1" t="s">
        <v>121</v>
      </c>
      <c r="D224" s="1"/>
      <c r="E224" s="1"/>
      <c r="F224" s="49"/>
    </row>
    <row r="225" spans="1:6" ht="21">
      <c r="A225" s="71" t="s">
        <v>152</v>
      </c>
      <c r="B225" s="2">
        <f>-C234-C235</f>
        <v>-770325.2216704825</v>
      </c>
      <c r="C225" s="1">
        <f>C232-C234-C235-C244</f>
        <v>-770325.2216704825</v>
      </c>
      <c r="D225" s="1">
        <f>D232-D234-D235-D244</f>
        <v>-305000</v>
      </c>
      <c r="E225" s="1">
        <f>E232-E234-E235-E244</f>
        <v>-240000</v>
      </c>
      <c r="F225" s="49">
        <f>F232-F234-F235-F244</f>
        <v>2520409.989119999</v>
      </c>
    </row>
    <row r="226" spans="1:6" ht="21">
      <c r="A226" s="70" t="s">
        <v>8</v>
      </c>
      <c r="B226" s="16"/>
      <c r="C226" s="16">
        <f>1/(1+B228)^1</f>
        <v>0.7691642250925219</v>
      </c>
      <c r="D226" s="16">
        <f>$C226*C226</f>
        <v>0.5916136051621798</v>
      </c>
      <c r="E226" s="16">
        <f>$C226*D226</f>
        <v>0.4550480201687612</v>
      </c>
      <c r="F226" s="48">
        <f>$C226*E226</f>
        <v>0.3500066578129915</v>
      </c>
    </row>
    <row r="227" spans="1:6" ht="21">
      <c r="A227" s="71" t="s">
        <v>9</v>
      </c>
      <c r="B227" s="29">
        <f>SUM(C227:F227)</f>
        <v>0</v>
      </c>
      <c r="C227" s="1">
        <f>C225*C226</f>
        <v>-592506.6021954019</v>
      </c>
      <c r="D227" s="1">
        <f>D225*D226</f>
        <v>-180442.14957446483</v>
      </c>
      <c r="E227" s="1">
        <f>E225*E226</f>
        <v>-109211.5248405027</v>
      </c>
      <c r="F227" s="49">
        <f>F225*F226</f>
        <v>882160.2766103692</v>
      </c>
    </row>
    <row r="228" spans="1:6" ht="21">
      <c r="A228" s="70" t="s">
        <v>10</v>
      </c>
      <c r="B228" s="16">
        <f>IRR(C225:F225)</f>
        <v>0.3001124693230643</v>
      </c>
      <c r="D228" s="16"/>
      <c r="E228" s="16"/>
      <c r="F228" s="48"/>
    </row>
    <row r="229" spans="1:6" ht="21">
      <c r="A229" s="71"/>
      <c r="B229" s="1"/>
      <c r="C229" s="1"/>
      <c r="D229" s="1"/>
      <c r="E229" s="1"/>
      <c r="F229" s="49"/>
    </row>
    <row r="230" spans="1:6" ht="21">
      <c r="A230" s="65" t="s">
        <v>11</v>
      </c>
      <c r="B230" s="3"/>
      <c r="C230" s="1"/>
      <c r="D230" s="1"/>
      <c r="E230" s="1"/>
      <c r="F230" s="49"/>
    </row>
    <row r="231" spans="1:6" ht="21">
      <c r="A231" s="71" t="s">
        <v>17</v>
      </c>
      <c r="B231" s="1" t="s">
        <v>27</v>
      </c>
      <c r="C231" s="1">
        <v>0</v>
      </c>
      <c r="D231" s="1">
        <f>C248</f>
        <v>2614.1415999999736</v>
      </c>
      <c r="E231" s="1">
        <f>D248</f>
        <v>-960.6400480000302</v>
      </c>
      <c r="F231" s="49">
        <f>E248</f>
        <v>-55.551927039952716</v>
      </c>
    </row>
    <row r="232" spans="1:6" ht="21">
      <c r="A232" s="71" t="s">
        <v>63</v>
      </c>
      <c r="B232" s="44">
        <f>SUM(C232:F232)</f>
        <v>2520409.989119999</v>
      </c>
      <c r="C232" s="1">
        <f>C173</f>
        <v>0</v>
      </c>
      <c r="D232" s="1">
        <f>D173</f>
        <v>0</v>
      </c>
      <c r="E232" s="1">
        <f>E173</f>
        <v>0</v>
      </c>
      <c r="F232" s="49">
        <f>F173</f>
        <v>2520409.989119999</v>
      </c>
    </row>
    <row r="233" spans="1:6" ht="21">
      <c r="A233" s="71" t="s">
        <v>16</v>
      </c>
      <c r="B233" s="44">
        <f>SUM(C233:F233)</f>
        <v>0</v>
      </c>
      <c r="C233" s="1">
        <v>0</v>
      </c>
      <c r="D233" s="1">
        <v>0</v>
      </c>
      <c r="E233" s="1">
        <v>0</v>
      </c>
      <c r="F233" s="49">
        <v>0</v>
      </c>
    </row>
    <row r="234" spans="1:6" ht="21">
      <c r="A234" s="71" t="s">
        <v>103</v>
      </c>
      <c r="B234" s="44">
        <f>SUM(C234:F234)</f>
        <v>490325.22167048254</v>
      </c>
      <c r="C234" s="1">
        <f>C157</f>
        <v>490325.22167048254</v>
      </c>
      <c r="D234" s="1">
        <v>0</v>
      </c>
      <c r="E234" s="1">
        <v>0</v>
      </c>
      <c r="F234" s="49">
        <v>0</v>
      </c>
    </row>
    <row r="235" spans="1:6" ht="21">
      <c r="A235" s="71" t="s">
        <v>120</v>
      </c>
      <c r="B235" s="44">
        <f>SUM(C235:F235)</f>
        <v>825000</v>
      </c>
      <c r="C235" s="1">
        <f>C22</f>
        <v>280000</v>
      </c>
      <c r="D235" s="1">
        <f>D22</f>
        <v>305000</v>
      </c>
      <c r="E235" s="1">
        <f>E22</f>
        <v>240000</v>
      </c>
      <c r="F235" s="49">
        <f>F22</f>
        <v>0</v>
      </c>
    </row>
    <row r="236" spans="1:6" ht="21">
      <c r="A236" s="71" t="s">
        <v>29</v>
      </c>
      <c r="B236" s="44">
        <f>SUM(C236:F236)</f>
        <v>0</v>
      </c>
      <c r="C236" s="1">
        <f>C151</f>
        <v>0</v>
      </c>
      <c r="D236" s="1">
        <f>D151</f>
        <v>0</v>
      </c>
      <c r="E236" s="1">
        <f>E151</f>
        <v>0</v>
      </c>
      <c r="F236" s="49">
        <f>F151</f>
        <v>0</v>
      </c>
    </row>
    <row r="237" spans="1:6" ht="21">
      <c r="A237" s="72" t="s">
        <v>12</v>
      </c>
      <c r="B237" s="2"/>
      <c r="C237" s="2">
        <f>SUM(C231:C236)</f>
        <v>770325.2216704825</v>
      </c>
      <c r="D237" s="2">
        <f>SUM(D231:D236)</f>
        <v>307614.1416</v>
      </c>
      <c r="E237" s="2">
        <f>SUM(E231:E236)</f>
        <v>239039.35995199997</v>
      </c>
      <c r="F237" s="51">
        <f>SUM(F231:F236)</f>
        <v>2520354.4371929592</v>
      </c>
    </row>
    <row r="238" spans="1:6" ht="21">
      <c r="A238" s="72"/>
      <c r="B238" s="2"/>
      <c r="C238" s="2"/>
      <c r="D238" s="2"/>
      <c r="E238" s="2"/>
      <c r="F238" s="51"/>
    </row>
    <row r="239" spans="1:6" ht="21">
      <c r="A239" s="71" t="s">
        <v>122</v>
      </c>
      <c r="B239" s="2"/>
      <c r="C239" s="1">
        <f aca="true" t="shared" si="20" ref="C239:F243">C157</f>
        <v>490325.22167048254</v>
      </c>
      <c r="D239" s="1">
        <f t="shared" si="20"/>
        <v>0</v>
      </c>
      <c r="E239" s="1">
        <f t="shared" si="20"/>
        <v>0</v>
      </c>
      <c r="F239" s="49">
        <f t="shared" si="20"/>
        <v>0</v>
      </c>
    </row>
    <row r="240" spans="1:6" ht="21">
      <c r="A240" s="71" t="s">
        <v>96</v>
      </c>
      <c r="B240" s="1"/>
      <c r="C240" s="1">
        <f t="shared" si="20"/>
        <v>259239.12</v>
      </c>
      <c r="D240" s="1">
        <f t="shared" si="20"/>
        <v>288387.6464</v>
      </c>
      <c r="E240" s="1">
        <f t="shared" si="20"/>
        <v>223453.18867199993</v>
      </c>
      <c r="F240" s="49">
        <f t="shared" si="20"/>
        <v>64639.82515199998</v>
      </c>
    </row>
    <row r="241" spans="1:6" ht="21">
      <c r="A241" s="71" t="s">
        <v>123</v>
      </c>
      <c r="B241" s="1"/>
      <c r="C241" s="1">
        <f t="shared" si="20"/>
        <v>12961.956</v>
      </c>
      <c r="D241" s="1">
        <f t="shared" si="20"/>
        <v>14419.382320000002</v>
      </c>
      <c r="E241" s="1">
        <f t="shared" si="20"/>
        <v>11172.659433599998</v>
      </c>
      <c r="F241" s="49">
        <f t="shared" si="20"/>
        <v>3231.9912575999992</v>
      </c>
    </row>
    <row r="242" spans="1:6" ht="21">
      <c r="A242" s="71" t="s">
        <v>14</v>
      </c>
      <c r="B242" s="1"/>
      <c r="C242" s="1">
        <f t="shared" si="20"/>
        <v>0</v>
      </c>
      <c r="D242" s="1">
        <f t="shared" si="20"/>
        <v>0</v>
      </c>
      <c r="E242" s="1">
        <f t="shared" si="20"/>
        <v>0</v>
      </c>
      <c r="F242" s="49">
        <f t="shared" si="20"/>
        <v>0</v>
      </c>
    </row>
    <row r="243" spans="1:6" ht="21">
      <c r="A243" s="71" t="s">
        <v>15</v>
      </c>
      <c r="B243" s="1"/>
      <c r="C243" s="1">
        <f t="shared" si="20"/>
        <v>5184.7824</v>
      </c>
      <c r="D243" s="1">
        <f t="shared" si="20"/>
        <v>5767.752928000001</v>
      </c>
      <c r="E243" s="1">
        <f t="shared" si="20"/>
        <v>4469.063773439999</v>
      </c>
      <c r="F243" s="49">
        <f t="shared" si="20"/>
        <v>1292.7965030399996</v>
      </c>
    </row>
    <row r="244" spans="1:6" ht="21">
      <c r="A244" s="71" t="s">
        <v>59</v>
      </c>
      <c r="B244" s="1"/>
      <c r="C244" s="1">
        <f>C199</f>
        <v>0</v>
      </c>
      <c r="D244" s="1">
        <f>D199</f>
        <v>0</v>
      </c>
      <c r="E244" s="1">
        <f>E199</f>
        <v>0</v>
      </c>
      <c r="F244" s="49">
        <f>F199</f>
        <v>0</v>
      </c>
    </row>
    <row r="245" spans="1:6" ht="21">
      <c r="A245" s="71" t="s">
        <v>60</v>
      </c>
      <c r="B245" s="1"/>
      <c r="C245" s="1">
        <f>C207</f>
        <v>0</v>
      </c>
      <c r="D245" s="1">
        <f>D207</f>
        <v>0</v>
      </c>
      <c r="E245" s="1">
        <f>E207</f>
        <v>0</v>
      </c>
      <c r="F245" s="49">
        <f>F207</f>
        <v>0</v>
      </c>
    </row>
    <row r="246" spans="1:6" ht="21">
      <c r="A246" s="71" t="s">
        <v>61</v>
      </c>
      <c r="B246" s="1"/>
      <c r="C246" s="1">
        <f>C152</f>
        <v>0</v>
      </c>
      <c r="D246" s="1">
        <f>D152</f>
        <v>0</v>
      </c>
      <c r="E246" s="1">
        <f>E152</f>
        <v>0</v>
      </c>
      <c r="F246" s="49">
        <f>F152</f>
        <v>0</v>
      </c>
    </row>
    <row r="247" spans="1:6" ht="21">
      <c r="A247" s="72" t="s">
        <v>13</v>
      </c>
      <c r="B247" s="2"/>
      <c r="C247" s="2">
        <f>SUM(C239:C246)</f>
        <v>767711.0800704826</v>
      </c>
      <c r="D247" s="2">
        <f>SUM(D239:D246)</f>
        <v>308574.781648</v>
      </c>
      <c r="E247" s="2">
        <f>SUM(E239:E246)</f>
        <v>239094.91187903992</v>
      </c>
      <c r="F247" s="51">
        <f>SUM(F239:F246)</f>
        <v>69164.61291263998</v>
      </c>
    </row>
    <row r="248" spans="1:6" ht="21">
      <c r="A248" s="75" t="s">
        <v>21</v>
      </c>
      <c r="B248" s="7"/>
      <c r="C248" s="7">
        <f>C237-C247</f>
        <v>2614.1415999999736</v>
      </c>
      <c r="D248" s="7">
        <f>D237-D247</f>
        <v>-960.6400480000302</v>
      </c>
      <c r="E248" s="7">
        <f>E237-E247</f>
        <v>-55.551927039952716</v>
      </c>
      <c r="F248" s="54">
        <f>F237-F247</f>
        <v>2451189.8242803193</v>
      </c>
    </row>
    <row r="249" spans="1:6" ht="21">
      <c r="A249" s="71"/>
      <c r="B249" s="1"/>
      <c r="C249" s="1"/>
      <c r="D249" s="1"/>
      <c r="E249" s="1"/>
      <c r="F249" s="49"/>
    </row>
    <row r="250" spans="1:6" ht="21">
      <c r="A250" s="65" t="s">
        <v>46</v>
      </c>
      <c r="B250" s="3"/>
      <c r="C250" s="1"/>
      <c r="D250" s="1"/>
      <c r="E250" s="1"/>
      <c r="F250" s="49"/>
    </row>
    <row r="251" spans="1:6" ht="21">
      <c r="A251" s="71" t="s">
        <v>17</v>
      </c>
      <c r="B251" s="1"/>
      <c r="C251" s="16">
        <f aca="true" t="shared" si="21" ref="C251:F256">C231/C$237</f>
        <v>0</v>
      </c>
      <c r="D251" s="16">
        <f t="shared" si="21"/>
        <v>0.008498119060466412</v>
      </c>
      <c r="E251" s="16">
        <f t="shared" si="21"/>
        <v>-0.0040187525945222175</v>
      </c>
      <c r="F251" s="48">
        <f t="shared" si="21"/>
        <v>-2.204131538809422E-05</v>
      </c>
    </row>
    <row r="252" spans="1:6" ht="21">
      <c r="A252" s="71" t="s">
        <v>63</v>
      </c>
      <c r="B252" s="29"/>
      <c r="C252" s="16">
        <f t="shared" si="21"/>
        <v>0</v>
      </c>
      <c r="D252" s="16">
        <f t="shared" si="21"/>
        <v>0</v>
      </c>
      <c r="E252" s="16">
        <f t="shared" si="21"/>
        <v>0</v>
      </c>
      <c r="F252" s="48">
        <f t="shared" si="21"/>
        <v>1.000022041315388</v>
      </c>
    </row>
    <row r="253" spans="1:6" ht="21">
      <c r="A253" s="71" t="s">
        <v>16</v>
      </c>
      <c r="B253" s="29"/>
      <c r="C253" s="16">
        <f t="shared" si="21"/>
        <v>0</v>
      </c>
      <c r="D253" s="16">
        <f t="shared" si="21"/>
        <v>0</v>
      </c>
      <c r="E253" s="16">
        <f t="shared" si="21"/>
        <v>0</v>
      </c>
      <c r="F253" s="48">
        <f t="shared" si="21"/>
        <v>0</v>
      </c>
    </row>
    <row r="254" spans="1:6" ht="21">
      <c r="A254" s="71" t="s">
        <v>103</v>
      </c>
      <c r="B254" s="29"/>
      <c r="C254" s="16">
        <f t="shared" si="21"/>
        <v>0.636517159086641</v>
      </c>
      <c r="D254" s="16">
        <f t="shared" si="21"/>
        <v>0</v>
      </c>
      <c r="E254" s="16">
        <f t="shared" si="21"/>
        <v>0</v>
      </c>
      <c r="F254" s="48">
        <f t="shared" si="21"/>
        <v>0</v>
      </c>
    </row>
    <row r="255" spans="1:6" ht="21">
      <c r="A255" s="71" t="s">
        <v>120</v>
      </c>
      <c r="B255" s="29"/>
      <c r="C255" s="16">
        <f t="shared" si="21"/>
        <v>0.363482840913359</v>
      </c>
      <c r="D255" s="16">
        <f t="shared" si="21"/>
        <v>0.9915018809395336</v>
      </c>
      <c r="E255" s="16">
        <f t="shared" si="21"/>
        <v>1.0040187525945221</v>
      </c>
      <c r="F255" s="48">
        <f t="shared" si="21"/>
        <v>0</v>
      </c>
    </row>
    <row r="256" spans="1:6" ht="21">
      <c r="A256" s="71" t="s">
        <v>29</v>
      </c>
      <c r="B256" s="29"/>
      <c r="C256" s="16">
        <f t="shared" si="21"/>
        <v>0</v>
      </c>
      <c r="D256" s="16">
        <f t="shared" si="21"/>
        <v>0</v>
      </c>
      <c r="E256" s="16">
        <f t="shared" si="21"/>
        <v>0</v>
      </c>
      <c r="F256" s="48">
        <f t="shared" si="21"/>
        <v>0</v>
      </c>
    </row>
    <row r="257" spans="1:6" ht="21">
      <c r="A257" s="72" t="s">
        <v>12</v>
      </c>
      <c r="B257" s="2"/>
      <c r="C257" s="30">
        <f>SUM(C251:C256)</f>
        <v>1</v>
      </c>
      <c r="D257" s="30">
        <f>SUM(D251:D256)</f>
        <v>1</v>
      </c>
      <c r="E257" s="30">
        <f>SUM(E251:E256)</f>
        <v>0.9999999999999999</v>
      </c>
      <c r="F257" s="57">
        <f>SUM(F251:F256)</f>
        <v>0.9999999999999999</v>
      </c>
    </row>
    <row r="258" spans="1:6" ht="21">
      <c r="A258" s="72"/>
      <c r="B258" s="2"/>
      <c r="C258" s="2"/>
      <c r="D258" s="2"/>
      <c r="E258" s="2"/>
      <c r="F258" s="51"/>
    </row>
    <row r="259" spans="1:6" ht="21">
      <c r="A259" s="71" t="s">
        <v>122</v>
      </c>
      <c r="B259" s="2"/>
      <c r="C259" s="16">
        <f aca="true" t="shared" si="22" ref="C259:F267">C239/C$247</f>
        <v>0.6386845707964335</v>
      </c>
      <c r="D259" s="16">
        <f t="shared" si="22"/>
        <v>0</v>
      </c>
      <c r="E259" s="16">
        <f t="shared" si="22"/>
        <v>0</v>
      </c>
      <c r="F259" s="48">
        <f t="shared" si="22"/>
        <v>0</v>
      </c>
    </row>
    <row r="260" spans="1:6" ht="21">
      <c r="A260" s="71" t="s">
        <v>96</v>
      </c>
      <c r="B260" s="1"/>
      <c r="C260" s="16">
        <f t="shared" si="22"/>
        <v>0.3376779712182864</v>
      </c>
      <c r="D260" s="16">
        <f t="shared" si="22"/>
        <v>0.9345794392523366</v>
      </c>
      <c r="E260" s="16">
        <f t="shared" si="22"/>
        <v>0.9345794392523364</v>
      </c>
      <c r="F260" s="48">
        <f t="shared" si="22"/>
        <v>0.9345794392523366</v>
      </c>
    </row>
    <row r="261" spans="1:6" ht="21">
      <c r="A261" s="71" t="s">
        <v>123</v>
      </c>
      <c r="B261" s="1"/>
      <c r="C261" s="16">
        <f t="shared" si="22"/>
        <v>0.016883898560914323</v>
      </c>
      <c r="D261" s="16">
        <f t="shared" si="22"/>
        <v>0.04672897196261683</v>
      </c>
      <c r="E261" s="16">
        <f t="shared" si="22"/>
        <v>0.04672897196261683</v>
      </c>
      <c r="F261" s="48">
        <f t="shared" si="22"/>
        <v>0.04672897196261683</v>
      </c>
    </row>
    <row r="262" spans="1:6" ht="21">
      <c r="A262" s="71" t="s">
        <v>14</v>
      </c>
      <c r="B262" s="1"/>
      <c r="C262" s="16">
        <f t="shared" si="22"/>
        <v>0</v>
      </c>
      <c r="D262" s="16">
        <f t="shared" si="22"/>
        <v>0</v>
      </c>
      <c r="E262" s="16">
        <f t="shared" si="22"/>
        <v>0</v>
      </c>
      <c r="F262" s="48">
        <f t="shared" si="22"/>
        <v>0</v>
      </c>
    </row>
    <row r="263" spans="1:6" ht="21">
      <c r="A263" s="71" t="s">
        <v>15</v>
      </c>
      <c r="B263" s="1"/>
      <c r="C263" s="16">
        <f t="shared" si="22"/>
        <v>0.0067535594243657284</v>
      </c>
      <c r="D263" s="16">
        <f t="shared" si="22"/>
        <v>0.01869158878504673</v>
      </c>
      <c r="E263" s="16">
        <f t="shared" si="22"/>
        <v>0.01869158878504673</v>
      </c>
      <c r="F263" s="48">
        <f t="shared" si="22"/>
        <v>0.01869158878504673</v>
      </c>
    </row>
    <row r="264" spans="1:6" ht="21">
      <c r="A264" s="71" t="s">
        <v>59</v>
      </c>
      <c r="B264" s="1"/>
      <c r="C264" s="16">
        <f t="shared" si="22"/>
        <v>0</v>
      </c>
      <c r="D264" s="16">
        <f t="shared" si="22"/>
        <v>0</v>
      </c>
      <c r="E264" s="16">
        <f t="shared" si="22"/>
        <v>0</v>
      </c>
      <c r="F264" s="48">
        <f t="shared" si="22"/>
        <v>0</v>
      </c>
    </row>
    <row r="265" spans="1:6" ht="21">
      <c r="A265" s="71" t="s">
        <v>60</v>
      </c>
      <c r="B265" s="1"/>
      <c r="C265" s="16">
        <f t="shared" si="22"/>
        <v>0</v>
      </c>
      <c r="D265" s="16">
        <f t="shared" si="22"/>
        <v>0</v>
      </c>
      <c r="E265" s="16">
        <f t="shared" si="22"/>
        <v>0</v>
      </c>
      <c r="F265" s="48">
        <f t="shared" si="22"/>
        <v>0</v>
      </c>
    </row>
    <row r="266" spans="1:6" ht="21">
      <c r="A266" s="71" t="s">
        <v>61</v>
      </c>
      <c r="B266" s="1"/>
      <c r="C266" s="16">
        <f t="shared" si="22"/>
        <v>0</v>
      </c>
      <c r="D266" s="16">
        <f t="shared" si="22"/>
        <v>0</v>
      </c>
      <c r="E266" s="16">
        <f t="shared" si="22"/>
        <v>0</v>
      </c>
      <c r="F266" s="48">
        <f t="shared" si="22"/>
        <v>0</v>
      </c>
    </row>
    <row r="267" spans="1:6" ht="21">
      <c r="A267" s="72" t="s">
        <v>13</v>
      </c>
      <c r="B267" s="2"/>
      <c r="C267" s="20">
        <f t="shared" si="22"/>
        <v>1</v>
      </c>
      <c r="D267" s="20">
        <f t="shared" si="22"/>
        <v>1</v>
      </c>
      <c r="E267" s="20">
        <f t="shared" si="22"/>
        <v>1</v>
      </c>
      <c r="F267" s="52">
        <f t="shared" si="22"/>
        <v>1</v>
      </c>
    </row>
    <row r="268" spans="1:6" ht="21.75" thickBot="1">
      <c r="A268" s="79" t="s">
        <v>21</v>
      </c>
      <c r="B268" s="58"/>
      <c r="C268" s="59">
        <f>C248/C247</f>
        <v>0.003405111203761671</v>
      </c>
      <c r="D268" s="59">
        <f>D248/D247</f>
        <v>-0.003113151511829828</v>
      </c>
      <c r="E268" s="59">
        <f>E248/E247</f>
        <v>-0.0002323425730952271</v>
      </c>
      <c r="F268" s="60">
        <f>F248/F247</f>
        <v>35.439941337868156</v>
      </c>
    </row>
    <row r="269" ht="21.75" thickTop="1">
      <c r="A269" s="80"/>
    </row>
    <row r="270" ht="21">
      <c r="A270" s="80"/>
    </row>
    <row r="271" ht="21">
      <c r="A271" s="80"/>
    </row>
    <row r="272" ht="21">
      <c r="A272" s="80"/>
    </row>
    <row r="273" ht="21">
      <c r="A273" s="80"/>
    </row>
    <row r="274" ht="21">
      <c r="A274" s="80"/>
    </row>
    <row r="275" ht="21">
      <c r="A275" s="80"/>
    </row>
    <row r="276" ht="21">
      <c r="A276" s="80"/>
    </row>
    <row r="277" ht="21">
      <c r="A277" s="80"/>
    </row>
    <row r="278" ht="21">
      <c r="A278" s="80"/>
    </row>
    <row r="279" ht="21">
      <c r="A279" s="80"/>
    </row>
    <row r="280" ht="21">
      <c r="A280" s="80"/>
    </row>
    <row r="281" ht="21">
      <c r="A281" s="80"/>
    </row>
    <row r="282" ht="21">
      <c r="A282" s="80"/>
    </row>
    <row r="283" ht="21">
      <c r="A283" s="80"/>
    </row>
    <row r="284" ht="21">
      <c r="A284" s="80"/>
    </row>
    <row r="285" ht="21">
      <c r="A285" s="80"/>
    </row>
    <row r="286" ht="21">
      <c r="A286" s="80"/>
    </row>
    <row r="287" ht="21">
      <c r="A287" s="80"/>
    </row>
    <row r="288" ht="21">
      <c r="A288" s="80"/>
    </row>
    <row r="289" ht="21">
      <c r="A289" s="80"/>
    </row>
    <row r="290" ht="21">
      <c r="A290" s="80"/>
    </row>
    <row r="291" ht="21">
      <c r="A291" s="80"/>
    </row>
    <row r="292" ht="21">
      <c r="A292" s="80"/>
    </row>
    <row r="293" ht="21">
      <c r="A293" s="80"/>
    </row>
    <row r="294" ht="21">
      <c r="A294" s="80"/>
    </row>
    <row r="295" ht="21">
      <c r="A295" s="80"/>
    </row>
    <row r="296" ht="21">
      <c r="A296" s="80"/>
    </row>
    <row r="297" ht="21">
      <c r="A297" s="80"/>
    </row>
    <row r="298" ht="21">
      <c r="A298" s="80"/>
    </row>
    <row r="299" ht="21">
      <c r="A299" s="80"/>
    </row>
    <row r="300" ht="21">
      <c r="A300" s="80"/>
    </row>
    <row r="301" ht="21">
      <c r="A301" s="80"/>
    </row>
    <row r="302" ht="21">
      <c r="A302" s="80"/>
    </row>
    <row r="303" ht="21">
      <c r="A303" s="80"/>
    </row>
    <row r="304" ht="21">
      <c r="A304" s="80"/>
    </row>
    <row r="305" ht="21">
      <c r="A305" s="80"/>
    </row>
    <row r="306" ht="21">
      <c r="A306" s="80"/>
    </row>
    <row r="307" ht="21">
      <c r="A307" s="80"/>
    </row>
    <row r="308" ht="21">
      <c r="A308" s="80"/>
    </row>
    <row r="309" ht="21">
      <c r="A309" s="80"/>
    </row>
    <row r="310" ht="21">
      <c r="A310" s="80"/>
    </row>
    <row r="311" ht="21">
      <c r="A311" s="80"/>
    </row>
    <row r="312" ht="21">
      <c r="A312" s="80"/>
    </row>
    <row r="313" ht="21">
      <c r="A313" s="80"/>
    </row>
    <row r="314" ht="21">
      <c r="A314" s="80"/>
    </row>
    <row r="315" ht="21">
      <c r="A315" s="80"/>
    </row>
    <row r="316" ht="21">
      <c r="A316" s="80"/>
    </row>
    <row r="317" ht="21">
      <c r="A317" s="80"/>
    </row>
    <row r="318" ht="21">
      <c r="A318" s="80"/>
    </row>
    <row r="319" ht="21">
      <c r="A319" s="80"/>
    </row>
    <row r="320" ht="21">
      <c r="A320" s="80"/>
    </row>
    <row r="321" ht="21">
      <c r="A321" s="80"/>
    </row>
    <row r="322" ht="21">
      <c r="A322" s="80"/>
    </row>
    <row r="323" ht="21">
      <c r="A323" s="80"/>
    </row>
    <row r="324" ht="21">
      <c r="A324" s="80"/>
    </row>
    <row r="325" ht="21">
      <c r="A325" s="80"/>
    </row>
    <row r="326" ht="21">
      <c r="A326" s="80"/>
    </row>
    <row r="327" ht="21">
      <c r="A327" s="80"/>
    </row>
  </sheetData>
  <mergeCells count="11">
    <mergeCell ref="A11:B11"/>
    <mergeCell ref="A2:F2"/>
    <mergeCell ref="A3:F3"/>
    <mergeCell ref="A4:F4"/>
    <mergeCell ref="A5:F5"/>
    <mergeCell ref="A6:F6"/>
    <mergeCell ref="A7:F7"/>
    <mergeCell ref="A10:F10"/>
    <mergeCell ref="A9:F9"/>
    <mergeCell ref="A8:F8"/>
    <mergeCell ref="A1:F1"/>
  </mergeCells>
  <conditionalFormatting sqref="C189:F189 C187:F187">
    <cfRule type="cellIs" priority="1" dxfId="0" operator="lessThan" stopIfTrue="1">
      <formula>0</formula>
    </cfRule>
  </conditionalFormatting>
  <conditionalFormatting sqref="C188:F188">
    <cfRule type="cellIs" priority="2" dxfId="1" operator="lessThan" stopIfTrue="1">
      <formula>0</formula>
    </cfRule>
  </conditionalFormatting>
  <printOptions gridLines="1" horizontalCentered="1" verticalCentered="1"/>
  <pageMargins left="0.37" right="0.5" top="0.75" bottom="0.64" header="0.35" footer="0.35"/>
  <pageSetup horizontalDpi="600" verticalDpi="600" orientation="portrait" paperSize="9" r:id="rId1"/>
  <headerFooter alignWithMargins="0">
    <oddHeader>&amp;L&amp;"B Kamran,Regular"&amp;14شركت سرمايه‌گذاري ساختمان و صنعت</oddHeader>
    <oddFooter>&amp;R&amp;"B Kamran,Regular"&amp;12صفحة &amp;P از &amp;N صفحه</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A22"/>
  <sheetViews>
    <sheetView rightToLeft="1" tabSelected="1" workbookViewId="0" topLeftCell="A1">
      <pane xSplit="1" ySplit="2" topLeftCell="B3" activePane="bottomRight" state="frozen"/>
      <selection pane="topLeft" activeCell="A11" sqref="A11:B11"/>
      <selection pane="topRight" activeCell="A11" sqref="A11:B11"/>
      <selection pane="bottomLeft" activeCell="A11" sqref="A11:B11"/>
      <selection pane="bottomRight" activeCell="A11" sqref="A11:B11"/>
    </sheetView>
  </sheetViews>
  <sheetFormatPr defaultColWidth="9.140625" defaultRowHeight="12.75"/>
  <cols>
    <col min="1" max="1" width="24.57421875" style="9" customWidth="1"/>
    <col min="2" max="3" width="7.57421875" style="9" bestFit="1" customWidth="1"/>
    <col min="4" max="12" width="8.7109375" style="9" bestFit="1" customWidth="1"/>
    <col min="13" max="13" width="9.8515625" style="9" bestFit="1" customWidth="1"/>
    <col min="14" max="14" width="9.8515625" style="9" customWidth="1"/>
    <col min="15" max="15" width="8.57421875" style="9" customWidth="1"/>
    <col min="16" max="26" width="8.7109375" style="9" bestFit="1" customWidth="1"/>
    <col min="27" max="27" width="10.00390625" style="9" customWidth="1"/>
    <col min="28" max="31" width="8.7109375" style="9" bestFit="1" customWidth="1"/>
    <col min="32" max="32" width="7.57421875" style="9" bestFit="1" customWidth="1"/>
    <col min="33" max="36" width="8.7109375" style="9" bestFit="1" customWidth="1"/>
    <col min="37" max="37" width="7.57421875" style="9" bestFit="1" customWidth="1"/>
    <col min="38" max="39" width="8.7109375" style="9" bestFit="1" customWidth="1"/>
    <col min="40" max="40" width="9.7109375" style="9" customWidth="1"/>
    <col min="41" max="51" width="8.7109375" style="9" bestFit="1" customWidth="1"/>
    <col min="52" max="52" width="10.421875" style="9" bestFit="1" customWidth="1"/>
    <col min="53" max="53" width="14.8515625" style="9" bestFit="1" customWidth="1"/>
    <col min="54" max="65" width="10.421875" style="9" bestFit="1" customWidth="1"/>
    <col min="66" max="66" width="14.8515625" style="9" bestFit="1" customWidth="1"/>
    <col min="67" max="67" width="10.421875" style="9" bestFit="1" customWidth="1"/>
    <col min="68" max="68" width="7.57421875" style="9" bestFit="1" customWidth="1"/>
    <col min="69" max="78" width="6.8515625" style="9" bestFit="1" customWidth="1"/>
    <col min="79" max="79" width="14.8515625" style="9" bestFit="1" customWidth="1"/>
    <col min="80" max="16384" width="9.140625" style="9" customWidth="1"/>
  </cols>
  <sheetData>
    <row r="1" spans="1:79" s="33" customFormat="1" ht="26.25" customHeight="1">
      <c r="A1" s="31"/>
      <c r="B1" s="32" t="str">
        <f>Plan0!C11</f>
        <v> سال 1383</v>
      </c>
      <c r="C1" s="32" t="str">
        <f>B1</f>
        <v> سال 1383</v>
      </c>
      <c r="D1" s="32" t="str">
        <f aca="true" t="shared" si="0" ref="D1:M1">C1</f>
        <v> سال 1383</v>
      </c>
      <c r="E1" s="32" t="str">
        <f t="shared" si="0"/>
        <v> سال 1383</v>
      </c>
      <c r="F1" s="32" t="str">
        <f t="shared" si="0"/>
        <v> سال 1383</v>
      </c>
      <c r="G1" s="32" t="str">
        <f t="shared" si="0"/>
        <v> سال 1383</v>
      </c>
      <c r="H1" s="32" t="str">
        <f t="shared" si="0"/>
        <v> سال 1383</v>
      </c>
      <c r="I1" s="32" t="str">
        <f t="shared" si="0"/>
        <v> سال 1383</v>
      </c>
      <c r="J1" s="32" t="str">
        <f t="shared" si="0"/>
        <v> سال 1383</v>
      </c>
      <c r="K1" s="32" t="str">
        <f t="shared" si="0"/>
        <v> سال 1383</v>
      </c>
      <c r="L1" s="32" t="str">
        <f t="shared" si="0"/>
        <v> سال 1383</v>
      </c>
      <c r="M1" s="32" t="str">
        <f t="shared" si="0"/>
        <v> سال 1383</v>
      </c>
      <c r="N1" s="36" t="s">
        <v>45</v>
      </c>
      <c r="O1" s="32" t="str">
        <f>Plan0!D11</f>
        <v> سال 1384</v>
      </c>
      <c r="P1" s="32" t="str">
        <f>O1</f>
        <v> سال 1384</v>
      </c>
      <c r="Q1" s="32" t="str">
        <f aca="true" t="shared" si="1" ref="Q1:Z1">P1</f>
        <v> سال 1384</v>
      </c>
      <c r="R1" s="32" t="str">
        <f t="shared" si="1"/>
        <v> سال 1384</v>
      </c>
      <c r="S1" s="32" t="str">
        <f t="shared" si="1"/>
        <v> سال 1384</v>
      </c>
      <c r="T1" s="32" t="str">
        <f t="shared" si="1"/>
        <v> سال 1384</v>
      </c>
      <c r="U1" s="32" t="str">
        <f t="shared" si="1"/>
        <v> سال 1384</v>
      </c>
      <c r="V1" s="32" t="str">
        <f t="shared" si="1"/>
        <v> سال 1384</v>
      </c>
      <c r="W1" s="32" t="str">
        <f t="shared" si="1"/>
        <v> سال 1384</v>
      </c>
      <c r="X1" s="32" t="str">
        <f t="shared" si="1"/>
        <v> سال 1384</v>
      </c>
      <c r="Y1" s="32" t="str">
        <f t="shared" si="1"/>
        <v> سال 1384</v>
      </c>
      <c r="Z1" s="32" t="str">
        <f t="shared" si="1"/>
        <v> سال 1384</v>
      </c>
      <c r="AA1" s="36" t="s">
        <v>127</v>
      </c>
      <c r="AB1" s="32" t="str">
        <f>Plan0!E11</f>
        <v>سال 1385</v>
      </c>
      <c r="AC1" s="32" t="str">
        <f>AB1</f>
        <v>سال 1385</v>
      </c>
      <c r="AD1" s="32" t="str">
        <f aca="true" t="shared" si="2" ref="AD1:AM1">AC1</f>
        <v>سال 1385</v>
      </c>
      <c r="AE1" s="32" t="str">
        <f t="shared" si="2"/>
        <v>سال 1385</v>
      </c>
      <c r="AF1" s="32" t="str">
        <f t="shared" si="2"/>
        <v>سال 1385</v>
      </c>
      <c r="AG1" s="32" t="str">
        <f t="shared" si="2"/>
        <v>سال 1385</v>
      </c>
      <c r="AH1" s="32" t="str">
        <f t="shared" si="2"/>
        <v>سال 1385</v>
      </c>
      <c r="AI1" s="32" t="str">
        <f t="shared" si="2"/>
        <v>سال 1385</v>
      </c>
      <c r="AJ1" s="32" t="str">
        <f t="shared" si="2"/>
        <v>سال 1385</v>
      </c>
      <c r="AK1" s="32" t="str">
        <f t="shared" si="2"/>
        <v>سال 1385</v>
      </c>
      <c r="AL1" s="32" t="str">
        <f t="shared" si="2"/>
        <v>سال 1385</v>
      </c>
      <c r="AM1" s="32" t="str">
        <f t="shared" si="2"/>
        <v>سال 1385</v>
      </c>
      <c r="AN1" s="36" t="s">
        <v>128</v>
      </c>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row>
    <row r="2" spans="1:79" ht="12.75">
      <c r="A2" s="11"/>
      <c r="B2" s="8" t="s">
        <v>33</v>
      </c>
      <c r="C2" s="8" t="s">
        <v>34</v>
      </c>
      <c r="D2" s="8" t="s">
        <v>35</v>
      </c>
      <c r="E2" s="8" t="s">
        <v>36</v>
      </c>
      <c r="F2" s="8" t="s">
        <v>37</v>
      </c>
      <c r="G2" s="8" t="s">
        <v>38</v>
      </c>
      <c r="H2" s="8" t="s">
        <v>39</v>
      </c>
      <c r="I2" s="8" t="s">
        <v>40</v>
      </c>
      <c r="J2" s="8" t="s">
        <v>41</v>
      </c>
      <c r="K2" s="8" t="s">
        <v>42</v>
      </c>
      <c r="L2" s="8" t="s">
        <v>43</v>
      </c>
      <c r="M2" s="8" t="s">
        <v>44</v>
      </c>
      <c r="N2" s="37"/>
      <c r="O2" s="8" t="s">
        <v>33</v>
      </c>
      <c r="P2" s="8" t="s">
        <v>34</v>
      </c>
      <c r="Q2" s="8" t="s">
        <v>35</v>
      </c>
      <c r="R2" s="8" t="s">
        <v>36</v>
      </c>
      <c r="S2" s="8" t="s">
        <v>37</v>
      </c>
      <c r="T2" s="8" t="s">
        <v>38</v>
      </c>
      <c r="U2" s="8" t="s">
        <v>39</v>
      </c>
      <c r="V2" s="8" t="s">
        <v>40</v>
      </c>
      <c r="W2" s="8" t="s">
        <v>41</v>
      </c>
      <c r="X2" s="8" t="s">
        <v>42</v>
      </c>
      <c r="Y2" s="8" t="s">
        <v>43</v>
      </c>
      <c r="Z2" s="8" t="s">
        <v>44</v>
      </c>
      <c r="AA2" s="37"/>
      <c r="AB2" s="8" t="s">
        <v>33</v>
      </c>
      <c r="AC2" s="8" t="s">
        <v>34</v>
      </c>
      <c r="AD2" s="8" t="s">
        <v>35</v>
      </c>
      <c r="AE2" s="8" t="s">
        <v>36</v>
      </c>
      <c r="AF2" s="8" t="s">
        <v>37</v>
      </c>
      <c r="AG2" s="8" t="s">
        <v>38</v>
      </c>
      <c r="AH2" s="8" t="s">
        <v>39</v>
      </c>
      <c r="AI2" s="8" t="s">
        <v>40</v>
      </c>
      <c r="AJ2" s="8" t="s">
        <v>41</v>
      </c>
      <c r="AK2" s="8" t="s">
        <v>42</v>
      </c>
      <c r="AL2" s="8" t="s">
        <v>43</v>
      </c>
      <c r="AM2" s="8" t="s">
        <v>44</v>
      </c>
      <c r="AN2" s="37"/>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row>
    <row r="3" spans="1:79" ht="15.75">
      <c r="A3" s="3" t="str">
        <f>Plan0!A230</f>
        <v>جريان وجوه نقد</v>
      </c>
      <c r="B3" s="5" t="s">
        <v>0</v>
      </c>
      <c r="C3" s="5"/>
      <c r="D3" s="5"/>
      <c r="E3" s="5"/>
      <c r="F3" s="5"/>
      <c r="G3" s="5"/>
      <c r="H3" s="5"/>
      <c r="I3" s="5"/>
      <c r="J3" s="5"/>
      <c r="K3" s="5"/>
      <c r="L3" s="5"/>
      <c r="M3" s="5"/>
      <c r="N3" s="38" t="s">
        <v>0</v>
      </c>
      <c r="O3" s="5" t="s">
        <v>0</v>
      </c>
      <c r="P3" s="5"/>
      <c r="Q3" s="5"/>
      <c r="R3" s="5"/>
      <c r="S3" s="5"/>
      <c r="T3" s="5"/>
      <c r="U3" s="5"/>
      <c r="V3" s="5"/>
      <c r="W3" s="5"/>
      <c r="X3" s="5"/>
      <c r="Y3" s="5"/>
      <c r="Z3" s="5"/>
      <c r="AA3" s="38" t="s">
        <v>0</v>
      </c>
      <c r="AB3" s="5" t="s">
        <v>0</v>
      </c>
      <c r="AC3" s="5"/>
      <c r="AD3" s="5"/>
      <c r="AE3" s="5"/>
      <c r="AF3" s="5"/>
      <c r="AG3" s="5"/>
      <c r="AH3" s="5"/>
      <c r="AI3" s="5"/>
      <c r="AJ3" s="5"/>
      <c r="AK3" s="5"/>
      <c r="AL3" s="5"/>
      <c r="AM3" s="5"/>
      <c r="AN3" s="38" t="s">
        <v>0</v>
      </c>
      <c r="AO3" s="5"/>
      <c r="AP3" s="5"/>
      <c r="AQ3" s="5"/>
      <c r="AR3" s="5"/>
      <c r="AS3" s="5"/>
      <c r="AT3" s="5"/>
      <c r="AU3" s="5"/>
      <c r="AV3" s="5"/>
      <c r="AW3" s="5"/>
      <c r="AX3" s="5"/>
      <c r="AY3" s="5"/>
      <c r="AZ3" s="5"/>
      <c r="BA3" s="1"/>
      <c r="BB3" s="5"/>
      <c r="BC3" s="5"/>
      <c r="BD3" s="5"/>
      <c r="BE3" s="5"/>
      <c r="BF3" s="5"/>
      <c r="BG3" s="5"/>
      <c r="BH3" s="5"/>
      <c r="BI3" s="5"/>
      <c r="BJ3" s="5"/>
      <c r="BK3" s="5"/>
      <c r="BL3" s="5"/>
      <c r="BM3" s="5"/>
      <c r="BN3" s="1"/>
      <c r="BO3" s="5"/>
      <c r="BP3" s="5"/>
      <c r="BQ3" s="5"/>
      <c r="BR3" s="5"/>
      <c r="BS3" s="5"/>
      <c r="BT3" s="5"/>
      <c r="BU3" s="5"/>
      <c r="BV3" s="5"/>
      <c r="BW3" s="5"/>
      <c r="BX3" s="5"/>
      <c r="BY3" s="5"/>
      <c r="BZ3" s="5"/>
      <c r="CA3" s="1"/>
    </row>
    <row r="4" spans="1:79" ht="12.75">
      <c r="A4" s="1" t="str">
        <f>Plan0!A231</f>
        <v>   ساختمانيودي نقدي اول دوره</v>
      </c>
      <c r="B4" s="1">
        <f>Plan0!C231</f>
        <v>0</v>
      </c>
      <c r="C4" s="1">
        <f>B21</f>
        <v>32068.51179999998</v>
      </c>
      <c r="D4" s="1">
        <f aca="true" t="shared" si="3" ref="D4:M4">C21</f>
        <v>29137.02359999998</v>
      </c>
      <c r="E4" s="1">
        <f t="shared" si="3"/>
        <v>26205.53539999997</v>
      </c>
      <c r="F4" s="1">
        <f t="shared" si="3"/>
        <v>23274.047199999965</v>
      </c>
      <c r="G4" s="1">
        <f t="shared" si="3"/>
        <v>20342.558999999957</v>
      </c>
      <c r="H4" s="1">
        <f t="shared" si="3"/>
        <v>17411.07079999995</v>
      </c>
      <c r="I4" s="1">
        <f t="shared" si="3"/>
        <v>14479.582599999943</v>
      </c>
      <c r="J4" s="1">
        <f t="shared" si="3"/>
        <v>11548.094399999936</v>
      </c>
      <c r="K4" s="1">
        <f t="shared" si="3"/>
        <v>8616.606199999933</v>
      </c>
      <c r="L4" s="1">
        <f t="shared" si="3"/>
        <v>5685.117999999929</v>
      </c>
      <c r="M4" s="1">
        <f t="shared" si="3"/>
        <v>2753.629799999926</v>
      </c>
      <c r="N4" s="38">
        <f>B4</f>
        <v>0</v>
      </c>
      <c r="O4" s="1">
        <f>M21</f>
        <v>-177.85840000007738</v>
      </c>
      <c r="P4" s="1">
        <f aca="true" t="shared" si="4" ref="P4:Z4">O21</f>
        <v>-277534.7200480001</v>
      </c>
      <c r="Q4" s="1">
        <f t="shared" si="4"/>
        <v>-246316.80004800012</v>
      </c>
      <c r="R4" s="1">
        <f t="shared" si="4"/>
        <v>-215098.88004800014</v>
      </c>
      <c r="S4" s="1">
        <f t="shared" si="4"/>
        <v>-183880.96004800015</v>
      </c>
      <c r="T4" s="1">
        <f t="shared" si="4"/>
        <v>-152663.04004800017</v>
      </c>
      <c r="U4" s="1">
        <f t="shared" si="4"/>
        <v>-121445.12004800017</v>
      </c>
      <c r="V4" s="1">
        <f t="shared" si="4"/>
        <v>-90227.20004800017</v>
      </c>
      <c r="W4" s="1">
        <f t="shared" si="4"/>
        <v>-59009.280048000175</v>
      </c>
      <c r="X4" s="1">
        <f t="shared" si="4"/>
        <v>-27791.36004800018</v>
      </c>
      <c r="Y4" s="1">
        <f t="shared" si="4"/>
        <v>3426.559951999814</v>
      </c>
      <c r="Z4" s="1">
        <f t="shared" si="4"/>
        <v>34644.479951999805</v>
      </c>
      <c r="AA4" s="38">
        <f>O4</f>
        <v>-177.85840000007738</v>
      </c>
      <c r="AB4" s="1">
        <f>Z21</f>
        <v>65862.3999519998</v>
      </c>
      <c r="AC4" s="1">
        <f aca="true" t="shared" si="5" ref="AC4:AM4">AB21</f>
        <v>-127966.52792704012</v>
      </c>
      <c r="AD4" s="1">
        <f t="shared" si="5"/>
        <v>-82700.54392704013</v>
      </c>
      <c r="AE4" s="1">
        <f t="shared" si="5"/>
        <v>-37434.559927040136</v>
      </c>
      <c r="AF4" s="1">
        <f t="shared" si="5"/>
        <v>7831.424072959853</v>
      </c>
      <c r="AG4" s="1">
        <f t="shared" si="5"/>
        <v>53097.40807295984</v>
      </c>
      <c r="AH4" s="1">
        <f t="shared" si="5"/>
        <v>98363.39207295983</v>
      </c>
      <c r="AI4" s="1">
        <f t="shared" si="5"/>
        <v>143629.37607295983</v>
      </c>
      <c r="AJ4" s="1">
        <f t="shared" si="5"/>
        <v>188895.36007295983</v>
      </c>
      <c r="AK4" s="1">
        <f t="shared" si="5"/>
        <v>234161.34407295982</v>
      </c>
      <c r="AL4" s="1">
        <f t="shared" si="5"/>
        <v>279427.3280729598</v>
      </c>
      <c r="AM4" s="1">
        <f t="shared" si="5"/>
        <v>324693.3120729598</v>
      </c>
      <c r="AN4" s="38">
        <f>AB4</f>
        <v>65862.3999519998</v>
      </c>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row>
    <row r="5" spans="1:79" ht="12.75">
      <c r="A5" s="1" t="str">
        <f>Plan0!A232</f>
        <v>   درآمد فروش</v>
      </c>
      <c r="B5" s="1">
        <f>Plan0!C232/12</f>
        <v>20183.999999999996</v>
      </c>
      <c r="C5" s="1">
        <f>B5</f>
        <v>20183.999999999996</v>
      </c>
      <c r="D5" s="1">
        <f aca="true" t="shared" si="6" ref="D5:M5">C5</f>
        <v>20183.999999999996</v>
      </c>
      <c r="E5" s="1">
        <f t="shared" si="6"/>
        <v>20183.999999999996</v>
      </c>
      <c r="F5" s="1">
        <f t="shared" si="6"/>
        <v>20183.999999999996</v>
      </c>
      <c r="G5" s="1">
        <f t="shared" si="6"/>
        <v>20183.999999999996</v>
      </c>
      <c r="H5" s="1">
        <f t="shared" si="6"/>
        <v>20183.999999999996</v>
      </c>
      <c r="I5" s="1">
        <f t="shared" si="6"/>
        <v>20183.999999999996</v>
      </c>
      <c r="J5" s="1">
        <f t="shared" si="6"/>
        <v>20183.999999999996</v>
      </c>
      <c r="K5" s="1">
        <f t="shared" si="6"/>
        <v>20183.999999999996</v>
      </c>
      <c r="L5" s="1">
        <f t="shared" si="6"/>
        <v>20183.999999999996</v>
      </c>
      <c r="M5" s="1">
        <f t="shared" si="6"/>
        <v>20183.999999999996</v>
      </c>
      <c r="N5" s="38">
        <f>SUM(B5:M5)</f>
        <v>242207.99999999997</v>
      </c>
      <c r="O5" s="1">
        <f>Plan0!D232/12</f>
        <v>31217.919999999995</v>
      </c>
      <c r="P5" s="1">
        <f>O5</f>
        <v>31217.919999999995</v>
      </c>
      <c r="Q5" s="1">
        <f aca="true" t="shared" si="7" ref="Q5:Z5">P5</f>
        <v>31217.919999999995</v>
      </c>
      <c r="R5" s="1">
        <f t="shared" si="7"/>
        <v>31217.919999999995</v>
      </c>
      <c r="S5" s="1">
        <f t="shared" si="7"/>
        <v>31217.919999999995</v>
      </c>
      <c r="T5" s="1">
        <f t="shared" si="7"/>
        <v>31217.919999999995</v>
      </c>
      <c r="U5" s="1">
        <f t="shared" si="7"/>
        <v>31217.919999999995</v>
      </c>
      <c r="V5" s="1">
        <f t="shared" si="7"/>
        <v>31217.919999999995</v>
      </c>
      <c r="W5" s="1">
        <f t="shared" si="7"/>
        <v>31217.919999999995</v>
      </c>
      <c r="X5" s="1">
        <f t="shared" si="7"/>
        <v>31217.919999999995</v>
      </c>
      <c r="Y5" s="1">
        <f t="shared" si="7"/>
        <v>31217.919999999995</v>
      </c>
      <c r="Z5" s="1">
        <f t="shared" si="7"/>
        <v>31217.919999999995</v>
      </c>
      <c r="AA5" s="38">
        <f>SUM(O5:Z5)</f>
        <v>374615.03999999986</v>
      </c>
      <c r="AB5" s="1">
        <f>Plan0!E232/12</f>
        <v>45265.98399999999</v>
      </c>
      <c r="AC5" s="1">
        <f>AB5</f>
        <v>45265.98399999999</v>
      </c>
      <c r="AD5" s="1">
        <f aca="true" t="shared" si="8" ref="AD5:AM5">AC5</f>
        <v>45265.98399999999</v>
      </c>
      <c r="AE5" s="1">
        <f t="shared" si="8"/>
        <v>45265.98399999999</v>
      </c>
      <c r="AF5" s="1">
        <f t="shared" si="8"/>
        <v>45265.98399999999</v>
      </c>
      <c r="AG5" s="1">
        <f t="shared" si="8"/>
        <v>45265.98399999999</v>
      </c>
      <c r="AH5" s="1">
        <f t="shared" si="8"/>
        <v>45265.98399999999</v>
      </c>
      <c r="AI5" s="1">
        <f t="shared" si="8"/>
        <v>45265.98399999999</v>
      </c>
      <c r="AJ5" s="1">
        <f t="shared" si="8"/>
        <v>45265.98399999999</v>
      </c>
      <c r="AK5" s="1">
        <f t="shared" si="8"/>
        <v>45265.98399999999</v>
      </c>
      <c r="AL5" s="1">
        <f t="shared" si="8"/>
        <v>45265.98399999999</v>
      </c>
      <c r="AM5" s="1">
        <f t="shared" si="8"/>
        <v>45265.98399999999</v>
      </c>
      <c r="AN5" s="38">
        <f>SUM(AB5:AM5)</f>
        <v>543191.8079999998</v>
      </c>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row>
    <row r="6" spans="1:79" ht="12.75">
      <c r="A6" s="1" t="str">
        <f>Plan0!A233</f>
        <v>   ارزش اسقاط</v>
      </c>
      <c r="B6" s="1">
        <f>Plan0!C233</f>
        <v>0</v>
      </c>
      <c r="C6" s="1"/>
      <c r="D6" s="1"/>
      <c r="E6" s="1"/>
      <c r="F6" s="1"/>
      <c r="G6" s="1"/>
      <c r="H6" s="1"/>
      <c r="I6" s="1"/>
      <c r="J6" s="1"/>
      <c r="K6" s="1"/>
      <c r="L6" s="1"/>
      <c r="M6" s="1"/>
      <c r="N6" s="38">
        <f>SUM(B6:M6)</f>
        <v>0</v>
      </c>
      <c r="O6" s="1">
        <f>Plan0!D233/12</f>
        <v>0</v>
      </c>
      <c r="P6" s="1"/>
      <c r="Q6" s="1"/>
      <c r="R6" s="1"/>
      <c r="S6" s="1"/>
      <c r="T6" s="1"/>
      <c r="U6" s="1"/>
      <c r="V6" s="1"/>
      <c r="W6" s="1"/>
      <c r="X6" s="1"/>
      <c r="Y6" s="1"/>
      <c r="Z6" s="1"/>
      <c r="AA6" s="38">
        <f>SUM(O6:Z6)</f>
        <v>0</v>
      </c>
      <c r="AB6" s="1">
        <f>Plan0!E233/12</f>
        <v>0</v>
      </c>
      <c r="AC6" s="1"/>
      <c r="AD6" s="1"/>
      <c r="AE6" s="1"/>
      <c r="AF6" s="1"/>
      <c r="AG6" s="1"/>
      <c r="AH6" s="1"/>
      <c r="AI6" s="1"/>
      <c r="AJ6" s="1"/>
      <c r="AK6" s="1"/>
      <c r="AL6" s="1"/>
      <c r="AM6" s="1"/>
      <c r="AN6" s="38">
        <f>SUM(AB6:AM6)</f>
        <v>0</v>
      </c>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1:79" ht="12.75">
      <c r="A7" s="1" t="str">
        <f>Plan0!A234</f>
        <v>   آورده زمين (نيروي دريايي)</v>
      </c>
      <c r="B7" s="1">
        <f>Plan0!C234</f>
        <v>450000</v>
      </c>
      <c r="C7" s="1"/>
      <c r="D7" s="1"/>
      <c r="E7" s="1" t="s">
        <v>0</v>
      </c>
      <c r="F7" s="1"/>
      <c r="G7" s="1"/>
      <c r="H7" s="1" t="s">
        <v>0</v>
      </c>
      <c r="I7" s="1"/>
      <c r="J7" s="1"/>
      <c r="K7" s="1" t="s">
        <v>0</v>
      </c>
      <c r="L7" s="1" t="s">
        <v>0</v>
      </c>
      <c r="M7" s="1" t="s">
        <v>0</v>
      </c>
      <c r="N7" s="38">
        <f>SUM(B7:M7)</f>
        <v>450000</v>
      </c>
      <c r="O7" s="1">
        <f>Plan0!D234/12</f>
        <v>0</v>
      </c>
      <c r="P7" s="1"/>
      <c r="Q7" s="1"/>
      <c r="R7" s="1"/>
      <c r="S7" s="1"/>
      <c r="T7" s="1"/>
      <c r="U7" s="1"/>
      <c r="V7" s="1"/>
      <c r="W7" s="1"/>
      <c r="X7" s="1"/>
      <c r="Y7" s="1"/>
      <c r="Z7" s="1"/>
      <c r="AA7" s="38">
        <f>SUM(O7:Z7)</f>
        <v>0</v>
      </c>
      <c r="AB7" s="1">
        <f>Plan0!E234/12</f>
        <v>0</v>
      </c>
      <c r="AC7" s="1"/>
      <c r="AD7" s="1"/>
      <c r="AE7" s="1"/>
      <c r="AF7" s="1"/>
      <c r="AG7" s="1"/>
      <c r="AH7" s="1"/>
      <c r="AI7" s="1"/>
      <c r="AJ7" s="1"/>
      <c r="AK7" s="1"/>
      <c r="AL7" s="1"/>
      <c r="AM7" s="1"/>
      <c r="AN7" s="38">
        <f>SUM(AB7:AM7)</f>
        <v>0</v>
      </c>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ht="12.75">
      <c r="A8" s="1" t="str">
        <f>Plan0!A235</f>
        <v>   آورده شركت سرمايه گذاري بانك ملي</v>
      </c>
      <c r="B8" s="1">
        <f>Plan0!C235</f>
        <v>35000</v>
      </c>
      <c r="C8" s="1"/>
      <c r="D8" s="1"/>
      <c r="E8" s="1" t="s">
        <v>0</v>
      </c>
      <c r="F8" s="1"/>
      <c r="G8" s="1"/>
      <c r="H8" s="1" t="s">
        <v>0</v>
      </c>
      <c r="I8" s="1"/>
      <c r="J8" s="1"/>
      <c r="K8" s="1" t="s">
        <v>0</v>
      </c>
      <c r="L8" s="1" t="s">
        <v>0</v>
      </c>
      <c r="M8" s="1" t="s">
        <v>0</v>
      </c>
      <c r="N8" s="38">
        <f>SUM(B8:M8)</f>
        <v>35000</v>
      </c>
      <c r="O8" s="1">
        <f>Plan0!D235/12</f>
        <v>0</v>
      </c>
      <c r="P8" s="1"/>
      <c r="Q8" s="1"/>
      <c r="R8" s="1"/>
      <c r="S8" s="1"/>
      <c r="T8" s="1"/>
      <c r="U8" s="1"/>
      <c r="V8" s="1"/>
      <c r="W8" s="1"/>
      <c r="X8" s="1"/>
      <c r="Y8" s="1"/>
      <c r="Z8" s="1"/>
      <c r="AA8" s="38">
        <f>SUM(O8:Z8)</f>
        <v>0</v>
      </c>
      <c r="AB8" s="1">
        <f>Plan0!E235/12</f>
        <v>0</v>
      </c>
      <c r="AC8" s="1"/>
      <c r="AD8" s="1"/>
      <c r="AE8" s="1"/>
      <c r="AF8" s="1"/>
      <c r="AG8" s="1"/>
      <c r="AH8" s="1"/>
      <c r="AI8" s="1"/>
      <c r="AJ8" s="1"/>
      <c r="AK8" s="1"/>
      <c r="AL8" s="1"/>
      <c r="AM8" s="1"/>
      <c r="AN8" s="38">
        <f>SUM(AB8:AM8)</f>
        <v>0</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2.75">
      <c r="A9" s="1" t="str">
        <f>Plan0!A236</f>
        <v>   تسهيلات دريافتي</v>
      </c>
      <c r="B9" s="1">
        <f>Plan0!C236</f>
        <v>0</v>
      </c>
      <c r="C9" s="1"/>
      <c r="D9" s="1"/>
      <c r="E9" s="1"/>
      <c r="F9" s="1"/>
      <c r="G9" s="1"/>
      <c r="H9" s="1"/>
      <c r="I9" s="1"/>
      <c r="J9" s="1"/>
      <c r="K9" s="1"/>
      <c r="L9" s="1"/>
      <c r="M9" s="1"/>
      <c r="N9" s="38">
        <f>SUM(B9:M9)</f>
        <v>0</v>
      </c>
      <c r="O9" s="1">
        <f>Plan0!D236/12</f>
        <v>0</v>
      </c>
      <c r="P9" s="1"/>
      <c r="Q9" s="1"/>
      <c r="R9" s="1"/>
      <c r="S9" s="1"/>
      <c r="T9" s="1"/>
      <c r="U9" s="1"/>
      <c r="V9" s="1"/>
      <c r="W9" s="1"/>
      <c r="X9" s="1"/>
      <c r="Y9" s="1"/>
      <c r="Z9" s="1"/>
      <c r="AA9" s="38">
        <f>SUM(O9:Z9)</f>
        <v>0</v>
      </c>
      <c r="AB9" s="1">
        <f>Plan0!E236/12</f>
        <v>0</v>
      </c>
      <c r="AC9" s="1"/>
      <c r="AD9" s="1"/>
      <c r="AE9" s="1"/>
      <c r="AF9" s="1"/>
      <c r="AG9" s="1"/>
      <c r="AH9" s="1"/>
      <c r="AI9" s="1"/>
      <c r="AJ9" s="1"/>
      <c r="AK9" s="1"/>
      <c r="AL9" s="1"/>
      <c r="AM9" s="1"/>
      <c r="AN9" s="38">
        <f>SUM(AB9:AM9)</f>
        <v>0</v>
      </c>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ht="12.75">
      <c r="A10" s="2" t="str">
        <f>Plan0!A237</f>
        <v>جريان نقدي ورودي</v>
      </c>
      <c r="B10" s="2">
        <f aca="true" t="shared" si="9" ref="B10:AA10">SUM(B4:B9)</f>
        <v>505184</v>
      </c>
      <c r="C10" s="2">
        <f t="shared" si="9"/>
        <v>52252.51179999998</v>
      </c>
      <c r="D10" s="2">
        <f t="shared" si="9"/>
        <v>49321.02359999997</v>
      </c>
      <c r="E10" s="2">
        <f t="shared" si="9"/>
        <v>46389.535399999964</v>
      </c>
      <c r="F10" s="2">
        <f t="shared" si="9"/>
        <v>43458.04719999996</v>
      </c>
      <c r="G10" s="2">
        <f t="shared" si="9"/>
        <v>40526.55899999995</v>
      </c>
      <c r="H10" s="2">
        <f t="shared" si="9"/>
        <v>37595.07079999994</v>
      </c>
      <c r="I10" s="2">
        <f t="shared" si="9"/>
        <v>34663.582599999936</v>
      </c>
      <c r="J10" s="2">
        <f t="shared" si="9"/>
        <v>31732.094399999933</v>
      </c>
      <c r="K10" s="2">
        <f t="shared" si="9"/>
        <v>28800.60619999993</v>
      </c>
      <c r="L10" s="2">
        <f t="shared" si="9"/>
        <v>25869.117999999926</v>
      </c>
      <c r="M10" s="2">
        <f t="shared" si="9"/>
        <v>22937.629799999922</v>
      </c>
      <c r="N10" s="39">
        <f t="shared" si="9"/>
        <v>727208</v>
      </c>
      <c r="O10" s="2">
        <f t="shared" si="9"/>
        <v>31040.061599999917</v>
      </c>
      <c r="P10" s="2">
        <f t="shared" si="9"/>
        <v>-246316.80004800012</v>
      </c>
      <c r="Q10" s="2">
        <f t="shared" si="9"/>
        <v>-215098.88004800014</v>
      </c>
      <c r="R10" s="2">
        <f t="shared" si="9"/>
        <v>-183880.96004800015</v>
      </c>
      <c r="S10" s="2">
        <f t="shared" si="9"/>
        <v>-152663.04004800017</v>
      </c>
      <c r="T10" s="2">
        <f t="shared" si="9"/>
        <v>-121445.12004800017</v>
      </c>
      <c r="U10" s="2">
        <f t="shared" si="9"/>
        <v>-90227.20004800017</v>
      </c>
      <c r="V10" s="2">
        <f t="shared" si="9"/>
        <v>-59009.280048000175</v>
      </c>
      <c r="W10" s="2">
        <f t="shared" si="9"/>
        <v>-27791.36004800018</v>
      </c>
      <c r="X10" s="2">
        <f t="shared" si="9"/>
        <v>3426.559951999814</v>
      </c>
      <c r="Y10" s="2">
        <f t="shared" si="9"/>
        <v>34644.479951999805</v>
      </c>
      <c r="Z10" s="2">
        <f t="shared" si="9"/>
        <v>65862.3999519998</v>
      </c>
      <c r="AA10" s="39">
        <f t="shared" si="9"/>
        <v>374437.1815999998</v>
      </c>
      <c r="AB10" s="2">
        <f aca="true" t="shared" si="10" ref="AB10:AN10">SUM(AB4:AB9)</f>
        <v>111128.3839519998</v>
      </c>
      <c r="AC10" s="2">
        <f t="shared" si="10"/>
        <v>-82700.54392704013</v>
      </c>
      <c r="AD10" s="2">
        <f t="shared" si="10"/>
        <v>-37434.559927040136</v>
      </c>
      <c r="AE10" s="2">
        <f t="shared" si="10"/>
        <v>7831.424072959853</v>
      </c>
      <c r="AF10" s="2">
        <f t="shared" si="10"/>
        <v>53097.40807295984</v>
      </c>
      <c r="AG10" s="2">
        <f t="shared" si="10"/>
        <v>98363.39207295983</v>
      </c>
      <c r="AH10" s="2">
        <f t="shared" si="10"/>
        <v>143629.37607295983</v>
      </c>
      <c r="AI10" s="2">
        <f t="shared" si="10"/>
        <v>188895.36007295983</v>
      </c>
      <c r="AJ10" s="2">
        <f t="shared" si="10"/>
        <v>234161.34407295982</v>
      </c>
      <c r="AK10" s="2">
        <f t="shared" si="10"/>
        <v>279427.3280729598</v>
      </c>
      <c r="AL10" s="2">
        <f t="shared" si="10"/>
        <v>324693.3120729598</v>
      </c>
      <c r="AM10" s="2">
        <f t="shared" si="10"/>
        <v>369959.2960729598</v>
      </c>
      <c r="AN10" s="39">
        <f t="shared" si="10"/>
        <v>609054.2079519996</v>
      </c>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row>
    <row r="11" spans="1:79" s="10" customFormat="1" ht="12.75">
      <c r="A11" s="1" t="s">
        <v>0</v>
      </c>
      <c r="B11" s="1" t="s">
        <v>0</v>
      </c>
      <c r="C11" s="1"/>
      <c r="D11" s="1"/>
      <c r="E11" s="1"/>
      <c r="F11" s="1"/>
      <c r="G11" s="1"/>
      <c r="H11" s="1"/>
      <c r="I11" s="1"/>
      <c r="J11" s="1"/>
      <c r="K11" s="1"/>
      <c r="L11" s="1"/>
      <c r="M11" s="1"/>
      <c r="N11" s="38" t="s">
        <v>0</v>
      </c>
      <c r="O11" s="1" t="s">
        <v>0</v>
      </c>
      <c r="P11" s="1"/>
      <c r="Q11" s="1"/>
      <c r="R11" s="1"/>
      <c r="S11" s="1"/>
      <c r="T11" s="1"/>
      <c r="U11" s="1"/>
      <c r="V11" s="1"/>
      <c r="W11" s="1"/>
      <c r="X11" s="1"/>
      <c r="Y11" s="1"/>
      <c r="Z11" s="1"/>
      <c r="AA11" s="38" t="s">
        <v>0</v>
      </c>
      <c r="AB11" s="1" t="s">
        <v>0</v>
      </c>
      <c r="AC11" s="1"/>
      <c r="AD11" s="1"/>
      <c r="AE11" s="1"/>
      <c r="AF11" s="1"/>
      <c r="AG11" s="1"/>
      <c r="AH11" s="1"/>
      <c r="AI11" s="1"/>
      <c r="AJ11" s="1"/>
      <c r="AK11" s="1"/>
      <c r="AL11" s="1"/>
      <c r="AM11" s="1"/>
      <c r="AN11" s="38" t="s">
        <v>0</v>
      </c>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ht="12.75">
      <c r="A12" s="1" t="str">
        <f>Plan0!A239</f>
        <v>     هزينه زمين</v>
      </c>
      <c r="B12" s="1">
        <f>Plan0!C239</f>
        <v>450000</v>
      </c>
      <c r="C12" s="1"/>
      <c r="D12" s="1"/>
      <c r="E12" s="1"/>
      <c r="F12" s="1"/>
      <c r="G12" s="1"/>
      <c r="H12" s="1"/>
      <c r="I12" s="1"/>
      <c r="J12" s="1"/>
      <c r="K12" s="1"/>
      <c r="L12" s="1"/>
      <c r="M12" s="1"/>
      <c r="N12" s="38">
        <f aca="true" t="shared" si="11" ref="N12:N19">SUM(B12:M12)</f>
        <v>450000</v>
      </c>
      <c r="O12" s="1">
        <f>Plan0!D239</f>
        <v>0</v>
      </c>
      <c r="P12" s="1"/>
      <c r="Q12" s="1"/>
      <c r="R12" s="1"/>
      <c r="S12" s="1"/>
      <c r="T12" s="1"/>
      <c r="U12" s="1"/>
      <c r="V12" s="1"/>
      <c r="W12" s="1"/>
      <c r="X12" s="1"/>
      <c r="Y12" s="1"/>
      <c r="Z12" s="1"/>
      <c r="AA12" s="38">
        <f>SUM(O12:Z12)</f>
        <v>0</v>
      </c>
      <c r="AB12" s="1">
        <f>Plan0!E239</f>
        <v>0</v>
      </c>
      <c r="AC12" s="1"/>
      <c r="AD12" s="1"/>
      <c r="AE12" s="1"/>
      <c r="AF12" s="1"/>
      <c r="AG12" s="1"/>
      <c r="AH12" s="1"/>
      <c r="AI12" s="1"/>
      <c r="AJ12" s="1"/>
      <c r="AK12" s="1"/>
      <c r="AL12" s="1"/>
      <c r="AM12" s="1"/>
      <c r="AN12" s="38">
        <f>SUM(AB12:AM12)</f>
        <v>0</v>
      </c>
      <c r="AO12" s="1"/>
      <c r="AP12" s="4"/>
      <c r="AQ12" s="4"/>
      <c r="AR12" s="4"/>
      <c r="AS12" s="4"/>
      <c r="AT12" s="4"/>
      <c r="AU12" s="4"/>
      <c r="AV12" s="4"/>
      <c r="AW12" s="4"/>
      <c r="AX12" s="4"/>
      <c r="AY12" s="4"/>
      <c r="AZ12" s="4"/>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2.75">
      <c r="A13" s="1" t="str">
        <f>Plan0!A240</f>
        <v>     هزينه بنا</v>
      </c>
      <c r="B13" s="1">
        <f>Plan0!C240/12</f>
        <v>21603.26</v>
      </c>
      <c r="C13" s="1">
        <f aca="true" t="shared" si="12" ref="C13:M13">B13</f>
        <v>21603.26</v>
      </c>
      <c r="D13" s="1">
        <f t="shared" si="12"/>
        <v>21603.26</v>
      </c>
      <c r="E13" s="1">
        <f t="shared" si="12"/>
        <v>21603.26</v>
      </c>
      <c r="F13" s="1">
        <f t="shared" si="12"/>
        <v>21603.26</v>
      </c>
      <c r="G13" s="1">
        <f t="shared" si="12"/>
        <v>21603.26</v>
      </c>
      <c r="H13" s="1">
        <f t="shared" si="12"/>
        <v>21603.26</v>
      </c>
      <c r="I13" s="1">
        <f t="shared" si="12"/>
        <v>21603.26</v>
      </c>
      <c r="J13" s="1">
        <f t="shared" si="12"/>
        <v>21603.26</v>
      </c>
      <c r="K13" s="1">
        <f t="shared" si="12"/>
        <v>21603.26</v>
      </c>
      <c r="L13" s="1">
        <f t="shared" si="12"/>
        <v>21603.26</v>
      </c>
      <c r="M13" s="1">
        <f t="shared" si="12"/>
        <v>21603.26</v>
      </c>
      <c r="N13" s="38">
        <f t="shared" si="11"/>
        <v>259239.12000000002</v>
      </c>
      <c r="O13" s="1">
        <f>Plan0!D240</f>
        <v>288387.6464</v>
      </c>
      <c r="P13" s="1"/>
      <c r="Q13" s="1"/>
      <c r="R13" s="1"/>
      <c r="S13" s="1"/>
      <c r="T13" s="1"/>
      <c r="U13" s="1"/>
      <c r="V13" s="1"/>
      <c r="W13" s="1"/>
      <c r="X13" s="1"/>
      <c r="Y13" s="1"/>
      <c r="Z13" s="1"/>
      <c r="AA13" s="38">
        <f aca="true" t="shared" si="13" ref="AA13:AA18">SUM(O13:Z13)</f>
        <v>288387.6464</v>
      </c>
      <c r="AB13" s="1">
        <f>Plan0!E240</f>
        <v>223453.18867199993</v>
      </c>
      <c r="AC13" s="1"/>
      <c r="AD13" s="1"/>
      <c r="AE13" s="1"/>
      <c r="AF13" s="1"/>
      <c r="AG13" s="1"/>
      <c r="AH13" s="1"/>
      <c r="AI13" s="1"/>
      <c r="AJ13" s="1"/>
      <c r="AK13" s="1"/>
      <c r="AL13" s="1"/>
      <c r="AM13" s="1"/>
      <c r="AN13" s="38">
        <f aca="true" t="shared" si="14" ref="AN13:AN18">SUM(AB13:AM13)</f>
        <v>223453.18867199993</v>
      </c>
      <c r="AO13" s="1"/>
      <c r="AP13" s="4"/>
      <c r="AQ13" s="4"/>
      <c r="AR13" s="4"/>
      <c r="AS13" s="4"/>
      <c r="AT13" s="4"/>
      <c r="AU13" s="4"/>
      <c r="AV13" s="4"/>
      <c r="AW13" s="4"/>
      <c r="AX13" s="4"/>
      <c r="AY13" s="4"/>
      <c r="AZ13" s="4"/>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ht="12.75">
      <c r="A14" s="1" t="str">
        <f>Plan0!A241</f>
        <v>     خدمات كارگزاري</v>
      </c>
      <c r="B14" s="1">
        <f>Plan0!C241/12</f>
        <v>1080.163</v>
      </c>
      <c r="C14" s="1">
        <f aca="true" t="shared" si="15" ref="C14:M14">B14</f>
        <v>1080.163</v>
      </c>
      <c r="D14" s="1">
        <f t="shared" si="15"/>
        <v>1080.163</v>
      </c>
      <c r="E14" s="1">
        <f t="shared" si="15"/>
        <v>1080.163</v>
      </c>
      <c r="F14" s="1">
        <f t="shared" si="15"/>
        <v>1080.163</v>
      </c>
      <c r="G14" s="1">
        <f t="shared" si="15"/>
        <v>1080.163</v>
      </c>
      <c r="H14" s="1">
        <f t="shared" si="15"/>
        <v>1080.163</v>
      </c>
      <c r="I14" s="1">
        <f t="shared" si="15"/>
        <v>1080.163</v>
      </c>
      <c r="J14" s="1">
        <f t="shared" si="15"/>
        <v>1080.163</v>
      </c>
      <c r="K14" s="1">
        <f t="shared" si="15"/>
        <v>1080.163</v>
      </c>
      <c r="L14" s="1">
        <f t="shared" si="15"/>
        <v>1080.163</v>
      </c>
      <c r="M14" s="1">
        <f t="shared" si="15"/>
        <v>1080.163</v>
      </c>
      <c r="N14" s="38">
        <f t="shared" si="11"/>
        <v>12961.956000000004</v>
      </c>
      <c r="O14" s="1">
        <f>Plan0!D241</f>
        <v>14419.382320000002</v>
      </c>
      <c r="P14" s="1"/>
      <c r="Q14" s="1"/>
      <c r="R14" s="1"/>
      <c r="S14" s="1"/>
      <c r="T14" s="1"/>
      <c r="U14" s="1"/>
      <c r="V14" s="1"/>
      <c r="W14" s="1"/>
      <c r="X14" s="1"/>
      <c r="Y14" s="1"/>
      <c r="Z14" s="1"/>
      <c r="AA14" s="38">
        <f t="shared" si="13"/>
        <v>14419.382320000002</v>
      </c>
      <c r="AB14" s="1">
        <f>Plan0!E241</f>
        <v>11172.659433599998</v>
      </c>
      <c r="AC14" s="1"/>
      <c r="AD14" s="1"/>
      <c r="AE14" s="1"/>
      <c r="AF14" s="1"/>
      <c r="AG14" s="1"/>
      <c r="AH14" s="1"/>
      <c r="AI14" s="1"/>
      <c r="AJ14" s="1"/>
      <c r="AK14" s="1"/>
      <c r="AL14" s="1"/>
      <c r="AM14" s="1"/>
      <c r="AN14" s="38">
        <f t="shared" si="14"/>
        <v>11172.659433599998</v>
      </c>
      <c r="AO14" s="1"/>
      <c r="AP14" s="4"/>
      <c r="AQ14" s="4"/>
      <c r="AR14" s="4"/>
      <c r="AS14" s="4"/>
      <c r="AT14" s="4"/>
      <c r="AU14" s="4"/>
      <c r="AV14" s="4"/>
      <c r="AW14" s="4"/>
      <c r="AX14" s="4"/>
      <c r="AY14" s="4"/>
      <c r="AZ14" s="4"/>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2.75">
      <c r="A15" s="1" t="str">
        <f>Plan0!A242</f>
        <v>     مالي     </v>
      </c>
      <c r="C15" s="1"/>
      <c r="D15" s="1"/>
      <c r="E15" s="1"/>
      <c r="F15" s="1"/>
      <c r="G15" s="1"/>
      <c r="H15" s="1"/>
      <c r="I15" s="1"/>
      <c r="J15" s="1"/>
      <c r="K15" s="1"/>
      <c r="L15" s="1"/>
      <c r="M15" s="1">
        <f>Plan0!C242</f>
        <v>0</v>
      </c>
      <c r="N15" s="38">
        <f t="shared" si="11"/>
        <v>0</v>
      </c>
      <c r="O15" s="1">
        <f>Plan0!D242</f>
        <v>0</v>
      </c>
      <c r="P15" s="1"/>
      <c r="Q15" s="1"/>
      <c r="R15" s="1"/>
      <c r="S15" s="1"/>
      <c r="T15" s="1"/>
      <c r="U15" s="1"/>
      <c r="V15" s="1"/>
      <c r="W15" s="1"/>
      <c r="X15" s="1"/>
      <c r="Y15" s="1"/>
      <c r="Z15" s="1"/>
      <c r="AA15" s="38">
        <f t="shared" si="13"/>
        <v>0</v>
      </c>
      <c r="AB15" s="1">
        <f>Plan0!E242</f>
        <v>0</v>
      </c>
      <c r="AC15" s="1"/>
      <c r="AD15" s="1"/>
      <c r="AE15" s="1"/>
      <c r="AF15" s="1"/>
      <c r="AG15" s="1"/>
      <c r="AH15" s="1"/>
      <c r="AI15" s="1"/>
      <c r="AJ15" s="1"/>
      <c r="AK15" s="1"/>
      <c r="AL15" s="1"/>
      <c r="AM15" s="1"/>
      <c r="AN15" s="38">
        <f t="shared" si="14"/>
        <v>0</v>
      </c>
      <c r="AO15" s="1"/>
      <c r="AP15" s="4"/>
      <c r="AQ15" s="4"/>
      <c r="AR15" s="4"/>
      <c r="AS15" s="4"/>
      <c r="AT15" s="4"/>
      <c r="AU15" s="4"/>
      <c r="AV15" s="4"/>
      <c r="AW15" s="4"/>
      <c r="AX15" s="4"/>
      <c r="AY15" s="4"/>
      <c r="AZ15" s="4"/>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2.75">
      <c r="A16" s="1" t="str">
        <f>Plan0!A243</f>
        <v>     بيمه     </v>
      </c>
      <c r="B16" s="1">
        <f>Plan0!C243/12</f>
        <v>432.0652</v>
      </c>
      <c r="C16" s="1">
        <f aca="true" t="shared" si="16" ref="C16:M16">B16</f>
        <v>432.0652</v>
      </c>
      <c r="D16" s="1">
        <f t="shared" si="16"/>
        <v>432.0652</v>
      </c>
      <c r="E16" s="1">
        <f t="shared" si="16"/>
        <v>432.0652</v>
      </c>
      <c r="F16" s="1">
        <f t="shared" si="16"/>
        <v>432.0652</v>
      </c>
      <c r="G16" s="1">
        <f t="shared" si="16"/>
        <v>432.0652</v>
      </c>
      <c r="H16" s="1">
        <f t="shared" si="16"/>
        <v>432.0652</v>
      </c>
      <c r="I16" s="1">
        <f t="shared" si="16"/>
        <v>432.0652</v>
      </c>
      <c r="J16" s="1">
        <f t="shared" si="16"/>
        <v>432.0652</v>
      </c>
      <c r="K16" s="1">
        <f t="shared" si="16"/>
        <v>432.0652</v>
      </c>
      <c r="L16" s="1">
        <f t="shared" si="16"/>
        <v>432.0652</v>
      </c>
      <c r="M16" s="1">
        <f t="shared" si="16"/>
        <v>432.0652</v>
      </c>
      <c r="N16" s="38">
        <f t="shared" si="11"/>
        <v>5184.7824</v>
      </c>
      <c r="O16" s="1">
        <f>Plan0!D243</f>
        <v>5767.752928000001</v>
      </c>
      <c r="P16" s="1"/>
      <c r="Q16" s="1"/>
      <c r="R16" s="1"/>
      <c r="S16" s="1"/>
      <c r="T16" s="1"/>
      <c r="U16" s="1"/>
      <c r="V16" s="1"/>
      <c r="W16" s="1"/>
      <c r="X16" s="1"/>
      <c r="Y16" s="1"/>
      <c r="Z16" s="1"/>
      <c r="AA16" s="38">
        <f t="shared" si="13"/>
        <v>5767.752928000001</v>
      </c>
      <c r="AB16" s="1">
        <f>Plan0!E243</f>
        <v>4469.063773439999</v>
      </c>
      <c r="AC16" s="1"/>
      <c r="AD16" s="1"/>
      <c r="AE16" s="1"/>
      <c r="AF16" s="1"/>
      <c r="AG16" s="1"/>
      <c r="AH16" s="1"/>
      <c r="AI16" s="1"/>
      <c r="AJ16" s="1"/>
      <c r="AK16" s="1"/>
      <c r="AL16" s="1"/>
      <c r="AM16" s="1"/>
      <c r="AN16" s="38">
        <f t="shared" si="14"/>
        <v>4469.063773439999</v>
      </c>
      <c r="AO16" s="1"/>
      <c r="AP16" s="4"/>
      <c r="AQ16" s="4"/>
      <c r="AR16" s="4"/>
      <c r="AS16" s="4"/>
      <c r="AT16" s="4"/>
      <c r="AU16" s="4"/>
      <c r="AV16" s="4"/>
      <c r="AW16" s="4"/>
      <c r="AX16" s="4"/>
      <c r="AY16" s="4"/>
      <c r="AZ16" s="4"/>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79" ht="12.75">
      <c r="A17" s="1" t="str">
        <f>Plan0!A244</f>
        <v>     ماليات</v>
      </c>
      <c r="C17" s="1"/>
      <c r="D17" s="1"/>
      <c r="E17" s="1"/>
      <c r="F17" s="1"/>
      <c r="G17" s="1"/>
      <c r="H17" s="1"/>
      <c r="I17" s="1"/>
      <c r="J17" s="1"/>
      <c r="K17" s="1"/>
      <c r="L17" s="1"/>
      <c r="M17" s="1">
        <f>Plan0!C244/12</f>
        <v>0</v>
      </c>
      <c r="N17" s="38">
        <f t="shared" si="11"/>
        <v>0</v>
      </c>
      <c r="O17" s="1">
        <f>Plan0!D244</f>
        <v>0</v>
      </c>
      <c r="P17" s="1"/>
      <c r="Q17" s="1"/>
      <c r="R17" s="1"/>
      <c r="S17" s="1"/>
      <c r="T17" s="1"/>
      <c r="U17" s="1"/>
      <c r="V17" s="1"/>
      <c r="W17" s="1"/>
      <c r="X17" s="1"/>
      <c r="Y17" s="1"/>
      <c r="Z17" s="1"/>
      <c r="AA17" s="38">
        <f t="shared" si="13"/>
        <v>0</v>
      </c>
      <c r="AB17" s="1">
        <f>Plan0!E244</f>
        <v>0</v>
      </c>
      <c r="AC17" s="1"/>
      <c r="AD17" s="1"/>
      <c r="AE17" s="1"/>
      <c r="AF17" s="1"/>
      <c r="AG17" s="1"/>
      <c r="AH17" s="1"/>
      <c r="AI17" s="1"/>
      <c r="AJ17" s="1"/>
      <c r="AK17" s="1"/>
      <c r="AL17" s="1"/>
      <c r="AM17" s="1"/>
      <c r="AN17" s="38">
        <f t="shared" si="14"/>
        <v>0</v>
      </c>
      <c r="AO17" s="1"/>
      <c r="AP17" s="4"/>
      <c r="AQ17" s="4"/>
      <c r="AR17" s="4"/>
      <c r="AS17" s="4"/>
      <c r="AT17" s="4"/>
      <c r="AU17" s="4"/>
      <c r="AV17" s="4"/>
      <c r="AW17" s="4"/>
      <c r="AX17" s="4"/>
      <c r="AY17" s="4"/>
      <c r="AZ17" s="4"/>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row>
    <row r="18" spans="1:79" ht="12.75">
      <c r="A18" s="1" t="str">
        <f>Plan0!A245</f>
        <v>     سود سهام</v>
      </c>
      <c r="C18" s="1"/>
      <c r="D18" s="1"/>
      <c r="E18" s="1"/>
      <c r="F18" s="1"/>
      <c r="G18" s="1"/>
      <c r="H18" s="1"/>
      <c r="I18" s="1"/>
      <c r="J18" s="1"/>
      <c r="K18" s="1"/>
      <c r="L18" s="1"/>
      <c r="M18" s="1">
        <f>Plan0!C245/12</f>
        <v>0</v>
      </c>
      <c r="N18" s="38">
        <f t="shared" si="11"/>
        <v>0</v>
      </c>
      <c r="O18" s="1">
        <f>Plan0!D245</f>
        <v>0</v>
      </c>
      <c r="P18" s="1"/>
      <c r="Q18" s="1"/>
      <c r="R18" s="1"/>
      <c r="S18" s="1"/>
      <c r="T18" s="1"/>
      <c r="U18" s="1"/>
      <c r="V18" s="1"/>
      <c r="W18" s="1"/>
      <c r="X18" s="1"/>
      <c r="Y18" s="1"/>
      <c r="Z18" s="1"/>
      <c r="AA18" s="38">
        <f t="shared" si="13"/>
        <v>0</v>
      </c>
      <c r="AB18" s="1">
        <f>Plan0!E245</f>
        <v>0</v>
      </c>
      <c r="AC18" s="1"/>
      <c r="AD18" s="1"/>
      <c r="AE18" s="1"/>
      <c r="AF18" s="1"/>
      <c r="AG18" s="1"/>
      <c r="AH18" s="1"/>
      <c r="AI18" s="1"/>
      <c r="AJ18" s="1"/>
      <c r="AK18" s="1"/>
      <c r="AL18" s="1"/>
      <c r="AM18" s="1"/>
      <c r="AN18" s="38">
        <f t="shared" si="14"/>
        <v>0</v>
      </c>
      <c r="AO18" s="1"/>
      <c r="AP18" s="4"/>
      <c r="AQ18" s="4"/>
      <c r="AR18" s="4"/>
      <c r="AS18" s="4"/>
      <c r="AT18" s="4"/>
      <c r="AU18" s="4"/>
      <c r="AV18" s="4"/>
      <c r="AW18" s="4"/>
      <c r="AX18" s="4"/>
      <c r="AY18" s="4"/>
      <c r="AZ18" s="4"/>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row>
    <row r="19" spans="1:79" ht="12.75">
      <c r="A19" s="1" t="str">
        <f>Plan0!A246</f>
        <v>   بازپرداخت تسهيلات دريافتي</v>
      </c>
      <c r="C19" s="1"/>
      <c r="D19" s="1"/>
      <c r="E19" s="1"/>
      <c r="F19" s="1"/>
      <c r="G19" s="1"/>
      <c r="H19" s="1"/>
      <c r="I19" s="1"/>
      <c r="J19" s="1"/>
      <c r="K19" s="1"/>
      <c r="L19" s="1"/>
      <c r="M19" s="1">
        <f>Plan0!C246/12</f>
        <v>0</v>
      </c>
      <c r="N19" s="38">
        <f t="shared" si="11"/>
        <v>0</v>
      </c>
      <c r="O19" s="1">
        <f>Plan0!D246</f>
        <v>0</v>
      </c>
      <c r="P19" s="1"/>
      <c r="Q19" s="1"/>
      <c r="R19" s="1"/>
      <c r="S19" s="1"/>
      <c r="T19" s="1"/>
      <c r="U19" s="1"/>
      <c r="V19" s="1"/>
      <c r="W19" s="1"/>
      <c r="X19" s="1"/>
      <c r="Y19" s="1"/>
      <c r="Z19" s="1"/>
      <c r="AA19" s="38">
        <f>SUM(O19:Z19)</f>
        <v>0</v>
      </c>
      <c r="AB19" s="1">
        <f>Plan0!E246</f>
        <v>0</v>
      </c>
      <c r="AC19" s="1"/>
      <c r="AD19" s="1"/>
      <c r="AE19" s="1"/>
      <c r="AF19" s="1"/>
      <c r="AG19" s="1"/>
      <c r="AH19" s="1"/>
      <c r="AI19" s="1"/>
      <c r="AJ19" s="1"/>
      <c r="AK19" s="1"/>
      <c r="AL19" s="1"/>
      <c r="AM19" s="1"/>
      <c r="AN19" s="38">
        <f>SUM(AB19:AM19)</f>
        <v>0</v>
      </c>
      <c r="AO19" s="1"/>
      <c r="AP19" s="4"/>
      <c r="AQ19" s="4"/>
      <c r="AR19" s="4"/>
      <c r="AS19" s="4"/>
      <c r="AT19" s="4"/>
      <c r="AU19" s="4"/>
      <c r="AV19" s="4"/>
      <c r="AW19" s="4"/>
      <c r="AX19" s="4"/>
      <c r="AY19" s="4"/>
      <c r="AZ19" s="4"/>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row>
    <row r="20" spans="1:79" ht="12.75">
      <c r="A20" s="1" t="str">
        <f>Plan0!A247</f>
        <v>جريان نقدي خروجي</v>
      </c>
      <c r="B20" s="2">
        <f aca="true" t="shared" si="17" ref="B20:AN20">SUM(B12:B19)</f>
        <v>473115.4882</v>
      </c>
      <c r="C20" s="2">
        <f t="shared" si="17"/>
        <v>23115.4882</v>
      </c>
      <c r="D20" s="2">
        <f t="shared" si="17"/>
        <v>23115.4882</v>
      </c>
      <c r="E20" s="2">
        <f t="shared" si="17"/>
        <v>23115.4882</v>
      </c>
      <c r="F20" s="2">
        <f t="shared" si="17"/>
        <v>23115.4882</v>
      </c>
      <c r="G20" s="2">
        <f t="shared" si="17"/>
        <v>23115.4882</v>
      </c>
      <c r="H20" s="2">
        <f t="shared" si="17"/>
        <v>23115.4882</v>
      </c>
      <c r="I20" s="2">
        <f t="shared" si="17"/>
        <v>23115.4882</v>
      </c>
      <c r="J20" s="2">
        <f t="shared" si="17"/>
        <v>23115.4882</v>
      </c>
      <c r="K20" s="2">
        <f t="shared" si="17"/>
        <v>23115.4882</v>
      </c>
      <c r="L20" s="2">
        <f t="shared" si="17"/>
        <v>23115.4882</v>
      </c>
      <c r="M20" s="2">
        <f t="shared" si="17"/>
        <v>23115.4882</v>
      </c>
      <c r="N20" s="39">
        <f t="shared" si="17"/>
        <v>727385.8584</v>
      </c>
      <c r="O20" s="2">
        <f t="shared" si="17"/>
        <v>308574.781648</v>
      </c>
      <c r="P20" s="2">
        <f t="shared" si="17"/>
        <v>0</v>
      </c>
      <c r="Q20" s="2">
        <f t="shared" si="17"/>
        <v>0</v>
      </c>
      <c r="R20" s="2">
        <f t="shared" si="17"/>
        <v>0</v>
      </c>
      <c r="S20" s="2">
        <f t="shared" si="17"/>
        <v>0</v>
      </c>
      <c r="T20" s="2">
        <f t="shared" si="17"/>
        <v>0</v>
      </c>
      <c r="U20" s="2">
        <f t="shared" si="17"/>
        <v>0</v>
      </c>
      <c r="V20" s="2">
        <f t="shared" si="17"/>
        <v>0</v>
      </c>
      <c r="W20" s="2">
        <f t="shared" si="17"/>
        <v>0</v>
      </c>
      <c r="X20" s="2">
        <f t="shared" si="17"/>
        <v>0</v>
      </c>
      <c r="Y20" s="2">
        <f t="shared" si="17"/>
        <v>0</v>
      </c>
      <c r="Z20" s="2">
        <f t="shared" si="17"/>
        <v>0</v>
      </c>
      <c r="AA20" s="39">
        <f t="shared" si="17"/>
        <v>308574.781648</v>
      </c>
      <c r="AB20" s="2">
        <f t="shared" si="17"/>
        <v>239094.91187903992</v>
      </c>
      <c r="AC20" s="2">
        <f t="shared" si="17"/>
        <v>0</v>
      </c>
      <c r="AD20" s="2">
        <f t="shared" si="17"/>
        <v>0</v>
      </c>
      <c r="AE20" s="2">
        <f t="shared" si="17"/>
        <v>0</v>
      </c>
      <c r="AF20" s="2">
        <f t="shared" si="17"/>
        <v>0</v>
      </c>
      <c r="AG20" s="2">
        <f t="shared" si="17"/>
        <v>0</v>
      </c>
      <c r="AH20" s="2">
        <f t="shared" si="17"/>
        <v>0</v>
      </c>
      <c r="AI20" s="2">
        <f t="shared" si="17"/>
        <v>0</v>
      </c>
      <c r="AJ20" s="2">
        <f t="shared" si="17"/>
        <v>0</v>
      </c>
      <c r="AK20" s="2">
        <f t="shared" si="17"/>
        <v>0</v>
      </c>
      <c r="AL20" s="2">
        <f t="shared" si="17"/>
        <v>0</v>
      </c>
      <c r="AM20" s="2">
        <f t="shared" si="17"/>
        <v>0</v>
      </c>
      <c r="AN20" s="39">
        <f t="shared" si="17"/>
        <v>239094.91187903992</v>
      </c>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row>
    <row r="21" spans="1:79" s="35" customFormat="1" ht="12.75">
      <c r="A21" s="40" t="str">
        <f>Plan0!A248</f>
        <v>جريان خالص نقدي كل</v>
      </c>
      <c r="B21" s="40">
        <f aca="true" t="shared" si="18" ref="B21:AN21">B10-B20</f>
        <v>32068.51179999998</v>
      </c>
      <c r="C21" s="40">
        <f t="shared" si="18"/>
        <v>29137.02359999998</v>
      </c>
      <c r="D21" s="40">
        <f t="shared" si="18"/>
        <v>26205.53539999997</v>
      </c>
      <c r="E21" s="40">
        <f t="shared" si="18"/>
        <v>23274.047199999965</v>
      </c>
      <c r="F21" s="40">
        <f t="shared" si="18"/>
        <v>20342.558999999957</v>
      </c>
      <c r="G21" s="40">
        <f t="shared" si="18"/>
        <v>17411.07079999995</v>
      </c>
      <c r="H21" s="40">
        <f t="shared" si="18"/>
        <v>14479.582599999943</v>
      </c>
      <c r="I21" s="40">
        <f t="shared" si="18"/>
        <v>11548.094399999936</v>
      </c>
      <c r="J21" s="40">
        <f t="shared" si="18"/>
        <v>8616.606199999933</v>
      </c>
      <c r="K21" s="40">
        <f t="shared" si="18"/>
        <v>5685.117999999929</v>
      </c>
      <c r="L21" s="40">
        <f t="shared" si="18"/>
        <v>2753.629799999926</v>
      </c>
      <c r="M21" s="40">
        <f t="shared" si="18"/>
        <v>-177.85840000007738</v>
      </c>
      <c r="N21" s="40">
        <f t="shared" si="18"/>
        <v>-177.85840000002645</v>
      </c>
      <c r="O21" s="40">
        <f t="shared" si="18"/>
        <v>-277534.7200480001</v>
      </c>
      <c r="P21" s="40">
        <f t="shared" si="18"/>
        <v>-246316.80004800012</v>
      </c>
      <c r="Q21" s="40">
        <f t="shared" si="18"/>
        <v>-215098.88004800014</v>
      </c>
      <c r="R21" s="40">
        <f t="shared" si="18"/>
        <v>-183880.96004800015</v>
      </c>
      <c r="S21" s="40">
        <f t="shared" si="18"/>
        <v>-152663.04004800017</v>
      </c>
      <c r="T21" s="40">
        <f t="shared" si="18"/>
        <v>-121445.12004800017</v>
      </c>
      <c r="U21" s="40">
        <f t="shared" si="18"/>
        <v>-90227.20004800017</v>
      </c>
      <c r="V21" s="40">
        <f t="shared" si="18"/>
        <v>-59009.280048000175</v>
      </c>
      <c r="W21" s="40">
        <f t="shared" si="18"/>
        <v>-27791.36004800018</v>
      </c>
      <c r="X21" s="40">
        <f t="shared" si="18"/>
        <v>3426.559951999814</v>
      </c>
      <c r="Y21" s="40">
        <f t="shared" si="18"/>
        <v>34644.479951999805</v>
      </c>
      <c r="Z21" s="40">
        <f t="shared" si="18"/>
        <v>65862.3999519998</v>
      </c>
      <c r="AA21" s="40">
        <f t="shared" si="18"/>
        <v>65862.39995199977</v>
      </c>
      <c r="AB21" s="40">
        <f t="shared" si="18"/>
        <v>-127966.52792704012</v>
      </c>
      <c r="AC21" s="40">
        <f t="shared" si="18"/>
        <v>-82700.54392704013</v>
      </c>
      <c r="AD21" s="40">
        <f t="shared" si="18"/>
        <v>-37434.559927040136</v>
      </c>
      <c r="AE21" s="40">
        <f t="shared" si="18"/>
        <v>7831.424072959853</v>
      </c>
      <c r="AF21" s="40">
        <f t="shared" si="18"/>
        <v>53097.40807295984</v>
      </c>
      <c r="AG21" s="40">
        <f t="shared" si="18"/>
        <v>98363.39207295983</v>
      </c>
      <c r="AH21" s="40">
        <f t="shared" si="18"/>
        <v>143629.37607295983</v>
      </c>
      <c r="AI21" s="40">
        <f t="shared" si="18"/>
        <v>188895.36007295983</v>
      </c>
      <c r="AJ21" s="40">
        <f t="shared" si="18"/>
        <v>234161.34407295982</v>
      </c>
      <c r="AK21" s="40">
        <f t="shared" si="18"/>
        <v>279427.3280729598</v>
      </c>
      <c r="AL21" s="40">
        <f t="shared" si="18"/>
        <v>324693.3120729598</v>
      </c>
      <c r="AM21" s="40">
        <f t="shared" si="18"/>
        <v>369959.2960729598</v>
      </c>
      <c r="AN21" s="40">
        <f t="shared" si="18"/>
        <v>369959.29607295967</v>
      </c>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row>
    <row r="22" ht="12.75">
      <c r="Z22" s="34" t="s">
        <v>0</v>
      </c>
    </row>
  </sheetData>
  <printOptions gridLines="1" headings="1" horizontalCentered="1" verticalCentered="1"/>
  <pageMargins left="0.35433070866141736" right="0.35433070866141736" top="0.71" bottom="0.7874015748031497" header="0.5118110236220472" footer="0.5118110236220472"/>
  <pageSetup fitToHeight="1" fitToWidth="1" horizontalDpi="600" verticalDpi="600" orientation="landscape" paperSize="9" scale="36" r:id="rId1"/>
  <headerFooter alignWithMargins="0">
    <oddHeader>&amp;Lشركت نورد و لوله اهواز&amp;C&amp;A&amp;Rگروه مشاورين راستين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Ahwaz Rolling &amp; Pipe Mills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ارزشيابي اقتصادي پروژة ساختماني</dc:title>
  <dc:subject>ارزشيابي اقتصادي پروژة ساختماني</dc:subject>
  <dc:creator>بیژن بیدآباد</dc:creator>
  <cp:keywords>ارزشيابي اقتصادي پروژة ساختماني</cp:keywords>
  <dc:description>ارزشيابي اقتصادي پروژة ساختماني</dc:description>
  <cp:lastModifiedBy>Baba</cp:lastModifiedBy>
  <cp:lastPrinted>2004-04-21T07:47:28Z</cp:lastPrinted>
  <dcterms:created xsi:type="dcterms:W3CDTF">2001-05-11T11:49:09Z</dcterms:created>
  <dcterms:modified xsi:type="dcterms:W3CDTF">2005-09-29T18:59:31Z</dcterms:modified>
  <cp:category>ارزشيابي اقتصادي پروژة ساختماني</cp:category>
  <cp:version/>
  <cp:contentType/>
  <cp:contentStatus/>
</cp:coreProperties>
</file>