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20" tabRatio="599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<sst xmlns="http://schemas.openxmlformats.org/spreadsheetml/2006/main" count="388" uniqueCount="161">
  <si>
    <t>YEAR</t>
  </si>
  <si>
    <t>GOVERNMENT FIXED INVESTMENT</t>
  </si>
  <si>
    <t xml:space="preserve"> 1.General Affairs</t>
  </si>
  <si>
    <t xml:space="preserve">      Statistics and general technical services</t>
  </si>
  <si>
    <t>_</t>
  </si>
  <si>
    <t xml:space="preserve">      Information and communications</t>
  </si>
  <si>
    <t xml:space="preserve">      Government buildings and establishment</t>
  </si>
  <si>
    <t xml:space="preserve">      Others      </t>
  </si>
  <si>
    <t>Nirou ensuny</t>
  </si>
  <si>
    <t xml:space="preserve"> 2.Social Affairs</t>
  </si>
  <si>
    <t>Sargam vured shodeh</t>
  </si>
  <si>
    <t xml:space="preserve">      Education</t>
  </si>
  <si>
    <t xml:space="preserve">      Culture and art</t>
  </si>
  <si>
    <t xml:space="preserve">      Health,medical care and nutrition</t>
  </si>
  <si>
    <t xml:space="preserve">      Social welfare and security </t>
  </si>
  <si>
    <t xml:space="preserve">      Physical  education and youth services</t>
  </si>
  <si>
    <t xml:space="preserve">      Urban development</t>
  </si>
  <si>
    <t xml:space="preserve">      Renovation and development of rural areas</t>
  </si>
  <si>
    <t xml:space="preserve">      Housing</t>
  </si>
  <si>
    <t xml:space="preserve">      Environment protection</t>
  </si>
  <si>
    <t xml:space="preserve">      Reclamation</t>
  </si>
  <si>
    <t xml:space="preserve">      Technical and professinal education</t>
  </si>
  <si>
    <t xml:space="preserve">      Higher education and research</t>
  </si>
  <si>
    <t xml:space="preserve"> 3.Economic Affairs</t>
  </si>
  <si>
    <t xml:space="preserve">      Agriculture and natural resources</t>
  </si>
  <si>
    <t>Keshuvarzy &amp; Ubyury</t>
  </si>
  <si>
    <t xml:space="preserve">      Water resources</t>
  </si>
  <si>
    <t xml:space="preserve">      Electricity</t>
  </si>
  <si>
    <t>Soukht &amp; Nirou</t>
  </si>
  <si>
    <t xml:space="preserve">      Industries</t>
  </si>
  <si>
    <t>Sanaat &amp; Maadan</t>
  </si>
  <si>
    <t xml:space="preserve">Sanaat &amp; Maadan &amp; Soukht &amp; Nirou </t>
  </si>
  <si>
    <t xml:space="preserve">      Oil</t>
  </si>
  <si>
    <t xml:space="preserve">      Gas</t>
  </si>
  <si>
    <t xml:space="preserve">      Mines</t>
  </si>
  <si>
    <t xml:space="preserve">      Commerce</t>
  </si>
  <si>
    <t xml:space="preserve">      Road and transportation</t>
  </si>
  <si>
    <t xml:space="preserve">      Post and telecommunication</t>
  </si>
  <si>
    <t xml:space="preserve">      Tourism</t>
  </si>
  <si>
    <t xml:space="preserve"> 4.Miscellaneous Expenditures</t>
  </si>
  <si>
    <t xml:space="preserve"> 5.Ministry of Jahad sazandegi credit</t>
  </si>
  <si>
    <t xml:space="preserve"> 6.Repayment of loans, Payments of debts, Prepayments to Centeral Bank</t>
  </si>
  <si>
    <t xml:space="preserve"> </t>
  </si>
  <si>
    <t xml:space="preserve">      TOTAL</t>
  </si>
  <si>
    <t xml:space="preserve">    Discrepancies</t>
  </si>
  <si>
    <t xml:space="preserve">    In which Book?</t>
  </si>
  <si>
    <t>T.1342</t>
  </si>
  <si>
    <t>T.1346</t>
  </si>
  <si>
    <t>T.1350</t>
  </si>
  <si>
    <t>T.1354</t>
  </si>
  <si>
    <t>T.( 58,54 )</t>
  </si>
  <si>
    <t>T.1359</t>
  </si>
  <si>
    <t>T.1360</t>
  </si>
  <si>
    <t>GOVERNMENT TAX REVENUES</t>
  </si>
  <si>
    <t xml:space="preserve"> 1.Corporate tax</t>
  </si>
  <si>
    <t xml:space="preserve">      Public legal entities</t>
  </si>
  <si>
    <t xml:space="preserve">      Procurement and distribution centers</t>
  </si>
  <si>
    <t xml:space="preserve">      Private legal entities</t>
  </si>
  <si>
    <t xml:space="preserve"> 2.Income tax</t>
  </si>
  <si>
    <t xml:space="preserve">      salaried</t>
  </si>
  <si>
    <t xml:space="preserve">      self employed</t>
  </si>
  <si>
    <t xml:space="preserve">      Real-estate</t>
  </si>
  <si>
    <t xml:space="preserve">      Others</t>
  </si>
  <si>
    <t xml:space="preserve"> 3.Wealth tax</t>
  </si>
  <si>
    <t xml:space="preserve">      Prorerty transactions and goodwill</t>
  </si>
  <si>
    <t xml:space="preserve">      Reconstructions tax on wealth</t>
  </si>
  <si>
    <t xml:space="preserve"> Total direct taxex</t>
  </si>
  <si>
    <t xml:space="preserve"> 1.Import tax</t>
  </si>
  <si>
    <t xml:space="preserve">      Custom duties</t>
  </si>
  <si>
    <t xml:space="preserve">      Commercial profit tax</t>
  </si>
  <si>
    <t xml:space="preserve">       Jam" &amp; Kharj" </t>
  </si>
  <si>
    <t xml:space="preserve">      Order registration fee</t>
  </si>
  <si>
    <t xml:space="preserve">      Special tax on imported cars</t>
  </si>
  <si>
    <t xml:space="preserve"> 2.Sales tax</t>
  </si>
  <si>
    <t xml:space="preserve">      oil products</t>
  </si>
  <si>
    <t xml:space="preserve">      Non-alcohlic beverages</t>
  </si>
  <si>
    <t xml:space="preserve">      Automobiles</t>
  </si>
  <si>
    <t xml:space="preserve">      Domestically-made cars</t>
  </si>
  <si>
    <t xml:space="preserve">      Cigarates</t>
  </si>
  <si>
    <t xml:space="preserve">      Automobile trnsactions</t>
  </si>
  <si>
    <t xml:space="preserve">      Communication services</t>
  </si>
  <si>
    <t xml:space="preserve">      Note 8 Budget 1376</t>
  </si>
  <si>
    <t xml:space="preserve">      Note 5 Budget 1376</t>
  </si>
  <si>
    <t>Total  indirect tax</t>
  </si>
  <si>
    <t xml:space="preserve">     TOTAL</t>
  </si>
  <si>
    <t>discrepancies are not right</t>
  </si>
  <si>
    <t>T.1343</t>
  </si>
  <si>
    <t>T.1347</t>
  </si>
  <si>
    <t>T.1351</t>
  </si>
  <si>
    <t>T.1349,51</t>
  </si>
  <si>
    <t>T.1353</t>
  </si>
  <si>
    <t>FINANCIAL SITUATION OF GOVERNMENT</t>
  </si>
  <si>
    <t>Revenues</t>
  </si>
  <si>
    <t xml:space="preserve">      Oil and Gas(1)</t>
  </si>
  <si>
    <t xml:space="preserve">            Sale of oil</t>
  </si>
  <si>
    <t xml:space="preserve">            Sale of foreign exchange at depriciated rates</t>
  </si>
  <si>
    <t xml:space="preserve">            Sale of gas</t>
  </si>
  <si>
    <t xml:space="preserve">      Taxes</t>
  </si>
  <si>
    <t xml:space="preserve">            Government monopolies and ownerships</t>
  </si>
  <si>
    <t xml:space="preserve">            Services and sales of goods</t>
  </si>
  <si>
    <t xml:space="preserve">            Foreign loans and investment returns</t>
  </si>
  <si>
    <t xml:space="preserve">            Miscellaneous</t>
  </si>
  <si>
    <t>Payments</t>
  </si>
  <si>
    <t xml:space="preserve">     Current payments</t>
  </si>
  <si>
    <t xml:space="preserve"> + Hazinehuye edury</t>
  </si>
  <si>
    <t xml:space="preserve">            Current expenses</t>
  </si>
  <si>
    <t>Hazineh edury</t>
  </si>
  <si>
    <t xml:space="preserve">            Repayment of principal of domestic loans</t>
  </si>
  <si>
    <t xml:space="preserve">            Repayment of pricipal of foriegn loans</t>
  </si>
  <si>
    <t xml:space="preserve">            Strengthening defense power</t>
  </si>
  <si>
    <t xml:space="preserve">            Repayments of debt to Centeral Bank</t>
  </si>
  <si>
    <t xml:space="preserve">     Development expenditures</t>
  </si>
  <si>
    <t xml:space="preserve">      Loan and investment in abroad</t>
  </si>
  <si>
    <t xml:space="preserve">     Subsidies</t>
  </si>
  <si>
    <t xml:space="preserve">     MOJAVEZHAYE </t>
  </si>
  <si>
    <t xml:space="preserve">Deficit (-) or surplus (+) </t>
  </si>
  <si>
    <t>Faghat khazuneh...</t>
  </si>
  <si>
    <t>Deficit financing (+) or surplus use (-)</t>
  </si>
  <si>
    <t xml:space="preserve">            Net utilization of domestic credits</t>
  </si>
  <si>
    <t xml:space="preserve">            Net utilization of foriegn credits</t>
  </si>
  <si>
    <t xml:space="preserve">            Utilization of returns,prepayments &amp; other account</t>
  </si>
  <si>
    <t xml:space="preserve">            Utilization of returns from gov. loans abroad</t>
  </si>
  <si>
    <t xml:space="preserve">            Receipts from loans paid to government corporations &amp; agencies</t>
  </si>
  <si>
    <t xml:space="preserve">            Reciepts from repayment of development projects loan</t>
  </si>
  <si>
    <t xml:space="preserve">            Revenue from corporation bonds</t>
  </si>
  <si>
    <t xml:space="preserve">            Surplus(-) or deficit financed by other resources (+)</t>
  </si>
  <si>
    <t xml:space="preserve">      Deficit (-) or surplus (+)  In Book</t>
  </si>
  <si>
    <t xml:space="preserve">      Discrepancies</t>
  </si>
  <si>
    <t xml:space="preserve">       In Which Book ?</t>
  </si>
  <si>
    <t>T.1349</t>
  </si>
  <si>
    <t>T.1356</t>
  </si>
  <si>
    <t>Safoura</t>
  </si>
  <si>
    <t>Ghatoura</t>
  </si>
  <si>
    <t>T.1373</t>
  </si>
  <si>
    <t>T.1376</t>
  </si>
  <si>
    <t>2.National Defence Affairs</t>
  </si>
  <si>
    <t xml:space="preserve">      Nuclear science and techniques</t>
  </si>
  <si>
    <t xml:space="preserve">      Inheritance tax</t>
  </si>
  <si>
    <t xml:space="preserve">      Stamp right, check, bill, note,…</t>
  </si>
  <si>
    <t xml:space="preserve">      2% price of imports for education ministry</t>
  </si>
  <si>
    <t xml:space="preserve">            Sales of foriegn exchange</t>
  </si>
  <si>
    <t xml:space="preserve">            Forward sales of oil bill</t>
  </si>
  <si>
    <t xml:space="preserve">            Pre-reciept of costs of Haj</t>
  </si>
  <si>
    <t xml:space="preserve">            Revenue from government corporation sales</t>
  </si>
  <si>
    <t>`</t>
  </si>
  <si>
    <t>IRGROILV</t>
  </si>
  <si>
    <t>IRGRTV</t>
  </si>
  <si>
    <t>IRGRTDV</t>
  </si>
  <si>
    <t>IRGRTIV</t>
  </si>
  <si>
    <t>IRGRMV</t>
  </si>
  <si>
    <t>IRGRDSV</t>
  </si>
  <si>
    <t>IRGRSV</t>
  </si>
  <si>
    <t>IRGRV</t>
  </si>
  <si>
    <t>IRGECV</t>
  </si>
  <si>
    <t>IRGEDV</t>
  </si>
  <si>
    <t>IRGESV</t>
  </si>
  <si>
    <t>IRGESPV</t>
  </si>
  <si>
    <t>IRGEFIV</t>
  </si>
  <si>
    <t>IRGEV</t>
  </si>
  <si>
    <t>IRGBDV</t>
  </si>
  <si>
    <t>IRGMTV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</si>
</sst>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سéآن&quot;#,##0_);\(&quot;سéآن&quot;#,##0\)"/>
    <numFmt numFmtId="181" formatCode="&quot;سéآن&quot;#,##0_);[Red]\(&quot;سéآن&quot;#,##0\)"/>
    <numFmt numFmtId="182" formatCode="&quot;سéآن&quot;#,##0.00_);\(&quot;سéآن&quot;#,##0.00\)"/>
    <numFmt numFmtId="183" formatCode="&quot;سéآن&quot;#,##0.00_);[Red]\(&quot;سéآن&quot;#,##0.00\)"/>
    <numFmt numFmtId="184" formatCode="_(&quot;سéآن&quot;* #,##0_);_(&quot;سéآن&quot;* \(#,##0\);_(&quot;سéآن&quot;* &quot;-&quot;_);_(@_)"/>
    <numFmt numFmtId="185" formatCode="_(&quot;سéآن&quot;* #,##0.00_);_(&quot;سéآن&quot;* \(#,##0.00\);_(&quot;سéآن&quot;* &quot;-&quot;??_);_(@_)"/>
    <numFmt numFmtId="186" formatCode="0.0"/>
    <numFmt numFmtId="187" formatCode="0.000E+00"/>
    <numFmt numFmtId="188" formatCode="0.0000E+00"/>
    <numFmt numFmtId="189" formatCode="0.0E+00"/>
    <numFmt numFmtId="190" formatCode="0E+00"/>
    <numFmt numFmtId="191" formatCode="0.000000"/>
    <numFmt numFmtId="192" formatCode="0.000"/>
    <numFmt numFmtId="193" formatCode="0.0000"/>
    <numFmt numFmtId="194" formatCode="0.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0"/>
    </font>
    <font>
      <b/>
      <sz val="10"/>
      <color indexed="12"/>
      <name val="Arial"/>
      <family val="0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37"/>
      <name val="Arial"/>
      <family val="2"/>
    </font>
    <font>
      <b/>
      <sz val="10"/>
      <color indexed="3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37"/>
      <name val="Arial"/>
      <family val="2"/>
    </font>
    <font>
      <sz val="10"/>
      <color indexed="32"/>
      <name val="Arial"/>
      <family val="2"/>
    </font>
    <font>
      <b/>
      <i/>
      <u val="single"/>
      <sz val="10"/>
      <color indexed="37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0"/>
      <color indexed="3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24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186" fontId="14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186" fontId="1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186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86" fontId="1" fillId="0" borderId="0" xfId="0" applyNumberFormat="1" applyFont="1" applyAlignment="1">
      <alignment/>
    </xf>
    <xf numFmtId="191" fontId="1" fillId="0" borderId="0" xfId="0" applyNumberFormat="1" applyFont="1" applyAlignment="1" applyProtection="1">
      <alignment/>
      <protection locked="0"/>
    </xf>
    <xf numFmtId="186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0" fillId="34" borderId="0" xfId="0" applyFill="1" applyAlignment="1">
      <alignment/>
    </xf>
    <xf numFmtId="186" fontId="1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104775</xdr:colOff>
      <xdr:row>6</xdr:row>
      <xdr:rowOff>142875</xdr:rowOff>
    </xdr:from>
    <xdr:to>
      <xdr:col>54</xdr:col>
      <xdr:colOff>161925</xdr:colOff>
      <xdr:row>12</xdr:row>
      <xdr:rowOff>123825</xdr:rowOff>
    </xdr:to>
    <xdr:sp>
      <xdr:nvSpPr>
        <xdr:cNvPr id="1" name="Oval 1"/>
        <xdr:cNvSpPr>
          <a:spLocks/>
        </xdr:cNvSpPr>
      </xdr:nvSpPr>
      <xdr:spPr>
        <a:xfrm>
          <a:off x="34518600" y="1266825"/>
          <a:ext cx="1276350" cy="952500"/>
        </a:xfrm>
        <a:prstGeom prst="ellipse">
          <a:avLst/>
        </a:prstGeom>
        <a:solidFill>
          <a:srgbClr val="FFFF00"/>
        </a:solidFill>
        <a:ln w="1714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514350</xdr:colOff>
      <xdr:row>5</xdr:row>
      <xdr:rowOff>9525</xdr:rowOff>
    </xdr:from>
    <xdr:to>
      <xdr:col>54</xdr:col>
      <xdr:colOff>371475</xdr:colOff>
      <xdr:row>7</xdr:row>
      <xdr:rowOff>133350</xdr:rowOff>
    </xdr:to>
    <xdr:sp>
      <xdr:nvSpPr>
        <xdr:cNvPr id="2" name="Oval 2"/>
        <xdr:cNvSpPr>
          <a:spLocks/>
        </xdr:cNvSpPr>
      </xdr:nvSpPr>
      <xdr:spPr>
        <a:xfrm>
          <a:off x="35537775" y="971550"/>
          <a:ext cx="466725" cy="447675"/>
        </a:xfrm>
        <a:prstGeom prst="ellipse">
          <a:avLst/>
        </a:prstGeom>
        <a:solidFill>
          <a:srgbClr val="FFFF00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371475</xdr:colOff>
      <xdr:row>6</xdr:row>
      <xdr:rowOff>19050</xdr:rowOff>
    </xdr:from>
    <xdr:to>
      <xdr:col>54</xdr:col>
      <xdr:colOff>581025</xdr:colOff>
      <xdr:row>6</xdr:row>
      <xdr:rowOff>104775</xdr:rowOff>
    </xdr:to>
    <xdr:sp>
      <xdr:nvSpPr>
        <xdr:cNvPr id="3" name="Oval 3"/>
        <xdr:cNvSpPr>
          <a:spLocks/>
        </xdr:cNvSpPr>
      </xdr:nvSpPr>
      <xdr:spPr>
        <a:xfrm>
          <a:off x="36004500" y="1143000"/>
          <a:ext cx="209550" cy="85725"/>
        </a:xfrm>
        <a:prstGeom prst="ellipse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390525</xdr:colOff>
      <xdr:row>6</xdr:row>
      <xdr:rowOff>133350</xdr:rowOff>
    </xdr:from>
    <xdr:to>
      <xdr:col>54</xdr:col>
      <xdr:colOff>409575</xdr:colOff>
      <xdr:row>6</xdr:row>
      <xdr:rowOff>142875</xdr:rowOff>
    </xdr:to>
    <xdr:sp>
      <xdr:nvSpPr>
        <xdr:cNvPr id="4" name="Oval 4"/>
        <xdr:cNvSpPr>
          <a:spLocks/>
        </xdr:cNvSpPr>
      </xdr:nvSpPr>
      <xdr:spPr>
        <a:xfrm>
          <a:off x="36023550" y="1257300"/>
          <a:ext cx="19050" cy="9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400050</xdr:colOff>
      <xdr:row>6</xdr:row>
      <xdr:rowOff>95250</xdr:rowOff>
    </xdr:from>
    <xdr:to>
      <xdr:col>54</xdr:col>
      <xdr:colOff>409575</xdr:colOff>
      <xdr:row>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36033075" y="1219200"/>
          <a:ext cx="9525" cy="28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333375</xdr:colOff>
      <xdr:row>6</xdr:row>
      <xdr:rowOff>114300</xdr:rowOff>
    </xdr:from>
    <xdr:to>
      <xdr:col>55</xdr:col>
      <xdr:colOff>19050</xdr:colOff>
      <xdr:row>7</xdr:row>
      <xdr:rowOff>9525</xdr:rowOff>
    </xdr:to>
    <xdr:sp>
      <xdr:nvSpPr>
        <xdr:cNvPr id="6" name="Oval 6"/>
        <xdr:cNvSpPr>
          <a:spLocks/>
        </xdr:cNvSpPr>
      </xdr:nvSpPr>
      <xdr:spPr>
        <a:xfrm>
          <a:off x="35966400" y="1238250"/>
          <a:ext cx="295275" cy="57150"/>
        </a:xfrm>
        <a:prstGeom prst="ellipse">
          <a:avLst/>
        </a:prstGeom>
        <a:solidFill>
          <a:srgbClr val="FFFF99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</xdr:colOff>
      <xdr:row>12</xdr:row>
      <xdr:rowOff>114300</xdr:rowOff>
    </xdr:from>
    <xdr:to>
      <xdr:col>53</xdr:col>
      <xdr:colOff>419100</xdr:colOff>
      <xdr:row>14</xdr:row>
      <xdr:rowOff>114300</xdr:rowOff>
    </xdr:to>
    <xdr:sp>
      <xdr:nvSpPr>
        <xdr:cNvPr id="7" name="Drawing 7"/>
        <xdr:cNvSpPr>
          <a:spLocks/>
        </xdr:cNvSpPr>
      </xdr:nvSpPr>
      <xdr:spPr>
        <a:xfrm>
          <a:off x="35052000" y="2209800"/>
          <a:ext cx="390525" cy="323850"/>
        </a:xfrm>
        <a:custGeom>
          <a:pathLst>
            <a:path h="16384" w="16384">
              <a:moveTo>
                <a:pt x="0" y="482"/>
              </a:moveTo>
              <a:lnTo>
                <a:pt x="0" y="9156"/>
              </a:lnTo>
              <a:lnTo>
                <a:pt x="2398" y="9156"/>
              </a:lnTo>
              <a:lnTo>
                <a:pt x="3596" y="9638"/>
              </a:lnTo>
              <a:lnTo>
                <a:pt x="11988" y="16384"/>
              </a:lnTo>
              <a:lnTo>
                <a:pt x="11988" y="14938"/>
              </a:lnTo>
              <a:lnTo>
                <a:pt x="11189" y="13493"/>
              </a:lnTo>
              <a:lnTo>
                <a:pt x="12388" y="12529"/>
              </a:lnTo>
              <a:lnTo>
                <a:pt x="13587" y="12047"/>
              </a:lnTo>
              <a:lnTo>
                <a:pt x="15984" y="12047"/>
              </a:lnTo>
              <a:lnTo>
                <a:pt x="13587" y="11083"/>
              </a:lnTo>
              <a:lnTo>
                <a:pt x="13187" y="9638"/>
              </a:lnTo>
              <a:lnTo>
                <a:pt x="13986" y="8192"/>
              </a:lnTo>
              <a:lnTo>
                <a:pt x="16384" y="8192"/>
              </a:lnTo>
              <a:lnTo>
                <a:pt x="15185" y="7228"/>
              </a:lnTo>
              <a:lnTo>
                <a:pt x="11589" y="7228"/>
              </a:lnTo>
              <a:lnTo>
                <a:pt x="10390" y="7710"/>
              </a:lnTo>
              <a:lnTo>
                <a:pt x="4396" y="7710"/>
              </a:lnTo>
              <a:lnTo>
                <a:pt x="1998" y="6746"/>
              </a:lnTo>
              <a:lnTo>
                <a:pt x="1998" y="3855"/>
              </a:lnTo>
              <a:lnTo>
                <a:pt x="0" y="482"/>
              </a:lnTo>
              <a:lnTo>
                <a:pt x="2398" y="0"/>
              </a:lnTo>
              <a:lnTo>
                <a:pt x="0" y="48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295275</xdr:colOff>
      <xdr:row>12</xdr:row>
      <xdr:rowOff>114300</xdr:rowOff>
    </xdr:from>
    <xdr:to>
      <xdr:col>54</xdr:col>
      <xdr:colOff>0</xdr:colOff>
      <xdr:row>14</xdr:row>
      <xdr:rowOff>38100</xdr:rowOff>
    </xdr:to>
    <xdr:sp>
      <xdr:nvSpPr>
        <xdr:cNvPr id="8" name="Drawing 8"/>
        <xdr:cNvSpPr>
          <a:spLocks/>
        </xdr:cNvSpPr>
      </xdr:nvSpPr>
      <xdr:spPr>
        <a:xfrm>
          <a:off x="35318700" y="2209800"/>
          <a:ext cx="314325" cy="247650"/>
        </a:xfrm>
        <a:custGeom>
          <a:pathLst>
            <a:path h="16384" w="16384">
              <a:moveTo>
                <a:pt x="0" y="0"/>
              </a:moveTo>
              <a:lnTo>
                <a:pt x="0" y="3781"/>
              </a:lnTo>
              <a:lnTo>
                <a:pt x="496" y="5671"/>
              </a:lnTo>
              <a:lnTo>
                <a:pt x="1986" y="6932"/>
              </a:lnTo>
              <a:lnTo>
                <a:pt x="4965" y="6932"/>
              </a:lnTo>
              <a:lnTo>
                <a:pt x="7944" y="5671"/>
              </a:lnTo>
              <a:lnTo>
                <a:pt x="15391" y="5671"/>
              </a:lnTo>
              <a:lnTo>
                <a:pt x="13902" y="6302"/>
              </a:lnTo>
              <a:lnTo>
                <a:pt x="12412" y="7562"/>
              </a:lnTo>
              <a:lnTo>
                <a:pt x="11916" y="9452"/>
              </a:lnTo>
              <a:lnTo>
                <a:pt x="13405" y="10082"/>
              </a:lnTo>
              <a:lnTo>
                <a:pt x="14895" y="10082"/>
              </a:lnTo>
              <a:lnTo>
                <a:pt x="11916" y="11343"/>
              </a:lnTo>
              <a:lnTo>
                <a:pt x="11916" y="13233"/>
              </a:lnTo>
              <a:lnTo>
                <a:pt x="13405" y="13863"/>
              </a:lnTo>
              <a:lnTo>
                <a:pt x="16384" y="13863"/>
              </a:lnTo>
              <a:lnTo>
                <a:pt x="14895" y="15124"/>
              </a:lnTo>
              <a:lnTo>
                <a:pt x="11916" y="16384"/>
              </a:lnTo>
              <a:lnTo>
                <a:pt x="8937" y="16384"/>
              </a:lnTo>
              <a:lnTo>
                <a:pt x="7447" y="15754"/>
              </a:lnTo>
              <a:lnTo>
                <a:pt x="5958" y="15754"/>
              </a:lnTo>
              <a:lnTo>
                <a:pt x="4965" y="15124"/>
              </a:lnTo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12</xdr:row>
      <xdr:rowOff>133350</xdr:rowOff>
    </xdr:from>
    <xdr:to>
      <xdr:col>53</xdr:col>
      <xdr:colOff>257175</xdr:colOff>
      <xdr:row>13</xdr:row>
      <xdr:rowOff>95250</xdr:rowOff>
    </xdr:to>
    <xdr:sp>
      <xdr:nvSpPr>
        <xdr:cNvPr id="9" name="Drawing 9"/>
        <xdr:cNvSpPr>
          <a:spLocks/>
        </xdr:cNvSpPr>
      </xdr:nvSpPr>
      <xdr:spPr>
        <a:xfrm>
          <a:off x="35261550" y="2228850"/>
          <a:ext cx="19050" cy="123825"/>
        </a:xfrm>
        <a:custGeom>
          <a:pathLst>
            <a:path h="16384" w="16384">
              <a:moveTo>
                <a:pt x="0" y="0"/>
              </a:moveTo>
              <a:lnTo>
                <a:pt x="8192" y="3511"/>
              </a:lnTo>
              <a:lnTo>
                <a:pt x="8192" y="7022"/>
              </a:lnTo>
              <a:lnTo>
                <a:pt x="16384" y="10533"/>
              </a:lnTo>
              <a:lnTo>
                <a:pt x="16384" y="14043"/>
              </a:lnTo>
              <a:lnTo>
                <a:pt x="16384" y="16384"/>
              </a:lnTo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190500</xdr:colOff>
      <xdr:row>5</xdr:row>
      <xdr:rowOff>142875</xdr:rowOff>
    </xdr:from>
    <xdr:to>
      <xdr:col>54</xdr:col>
      <xdr:colOff>266700</xdr:colOff>
      <xdr:row>6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35823525" y="1104900"/>
          <a:ext cx="76200" cy="142875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371475</xdr:colOff>
      <xdr:row>7</xdr:row>
      <xdr:rowOff>95250</xdr:rowOff>
    </xdr:from>
    <xdr:to>
      <xdr:col>52</xdr:col>
      <xdr:colOff>171450</xdr:colOff>
      <xdr:row>11</xdr:row>
      <xdr:rowOff>9525</xdr:rowOff>
    </xdr:to>
    <xdr:sp>
      <xdr:nvSpPr>
        <xdr:cNvPr id="11" name="Drawing 11"/>
        <xdr:cNvSpPr>
          <a:spLocks/>
        </xdr:cNvSpPr>
      </xdr:nvSpPr>
      <xdr:spPr>
        <a:xfrm>
          <a:off x="34175700" y="1381125"/>
          <a:ext cx="409575" cy="561975"/>
        </a:xfrm>
        <a:custGeom>
          <a:pathLst>
            <a:path h="16384" w="16384">
              <a:moveTo>
                <a:pt x="16384" y="2621"/>
              </a:moveTo>
              <a:lnTo>
                <a:pt x="9907" y="2621"/>
              </a:lnTo>
              <a:lnTo>
                <a:pt x="7620" y="1311"/>
              </a:lnTo>
              <a:lnTo>
                <a:pt x="6477" y="1311"/>
              </a:lnTo>
              <a:lnTo>
                <a:pt x="4191" y="0"/>
              </a:lnTo>
              <a:lnTo>
                <a:pt x="1905" y="0"/>
              </a:lnTo>
              <a:lnTo>
                <a:pt x="2286" y="1966"/>
              </a:lnTo>
              <a:lnTo>
                <a:pt x="3429" y="3277"/>
              </a:lnTo>
              <a:lnTo>
                <a:pt x="5715" y="4588"/>
              </a:lnTo>
              <a:lnTo>
                <a:pt x="6858" y="4588"/>
              </a:lnTo>
              <a:lnTo>
                <a:pt x="8001" y="5243"/>
              </a:lnTo>
              <a:lnTo>
                <a:pt x="1143" y="5243"/>
              </a:lnTo>
              <a:lnTo>
                <a:pt x="381" y="7209"/>
              </a:lnTo>
              <a:lnTo>
                <a:pt x="1143" y="9175"/>
              </a:lnTo>
              <a:lnTo>
                <a:pt x="2286" y="9830"/>
              </a:lnTo>
              <a:lnTo>
                <a:pt x="4953" y="9830"/>
              </a:lnTo>
              <a:lnTo>
                <a:pt x="6096" y="8520"/>
              </a:lnTo>
              <a:lnTo>
                <a:pt x="7239" y="7864"/>
              </a:lnTo>
              <a:lnTo>
                <a:pt x="8383" y="7864"/>
              </a:lnTo>
              <a:lnTo>
                <a:pt x="9907" y="7209"/>
              </a:lnTo>
              <a:lnTo>
                <a:pt x="11050" y="7209"/>
              </a:lnTo>
              <a:lnTo>
                <a:pt x="9907" y="8520"/>
              </a:lnTo>
              <a:lnTo>
                <a:pt x="6477" y="8520"/>
              </a:lnTo>
              <a:lnTo>
                <a:pt x="4191" y="9830"/>
              </a:lnTo>
              <a:lnTo>
                <a:pt x="3048" y="9830"/>
              </a:lnTo>
              <a:lnTo>
                <a:pt x="1905" y="10486"/>
              </a:lnTo>
              <a:lnTo>
                <a:pt x="1524" y="12452"/>
              </a:lnTo>
              <a:lnTo>
                <a:pt x="381" y="13107"/>
              </a:lnTo>
              <a:lnTo>
                <a:pt x="0" y="15073"/>
              </a:lnTo>
              <a:lnTo>
                <a:pt x="1143" y="16384"/>
              </a:lnTo>
              <a:lnTo>
                <a:pt x="3429" y="16384"/>
              </a:lnTo>
              <a:lnTo>
                <a:pt x="4572" y="15729"/>
              </a:lnTo>
              <a:lnTo>
                <a:pt x="5715" y="15729"/>
              </a:lnTo>
              <a:lnTo>
                <a:pt x="8001" y="13107"/>
              </a:lnTo>
              <a:lnTo>
                <a:pt x="11431" y="11141"/>
              </a:lnTo>
              <a:lnTo>
                <a:pt x="12574" y="11141"/>
              </a:lnTo>
              <a:lnTo>
                <a:pt x="13336" y="11141"/>
              </a:lnTo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12</xdr:row>
      <xdr:rowOff>95250</xdr:rowOff>
    </xdr:from>
    <xdr:to>
      <xdr:col>53</xdr:col>
      <xdr:colOff>323850</xdr:colOff>
      <xdr:row>13</xdr:row>
      <xdr:rowOff>95250</xdr:rowOff>
    </xdr:to>
    <xdr:sp>
      <xdr:nvSpPr>
        <xdr:cNvPr id="12" name="Drawing 12"/>
        <xdr:cNvSpPr>
          <a:spLocks/>
        </xdr:cNvSpPr>
      </xdr:nvSpPr>
      <xdr:spPr>
        <a:xfrm>
          <a:off x="35242500" y="2190750"/>
          <a:ext cx="104775" cy="161925"/>
        </a:xfrm>
        <a:custGeom>
          <a:pathLst>
            <a:path h="16384" w="16384">
              <a:moveTo>
                <a:pt x="0" y="1024"/>
              </a:moveTo>
              <a:lnTo>
                <a:pt x="1489" y="1024"/>
              </a:lnTo>
              <a:lnTo>
                <a:pt x="5958" y="16384"/>
              </a:lnTo>
              <a:lnTo>
                <a:pt x="16384" y="15360"/>
              </a:lnTo>
              <a:lnTo>
                <a:pt x="11916" y="0"/>
              </a:lnTo>
              <a:lnTo>
                <a:pt x="0" y="1024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123825</xdr:colOff>
      <xdr:row>7</xdr:row>
      <xdr:rowOff>76200</xdr:rowOff>
    </xdr:from>
    <xdr:to>
      <xdr:col>54</xdr:col>
      <xdr:colOff>95250</xdr:colOff>
      <xdr:row>11</xdr:row>
      <xdr:rowOff>152400</xdr:rowOff>
    </xdr:to>
    <xdr:sp>
      <xdr:nvSpPr>
        <xdr:cNvPr id="13" name="Oval 13"/>
        <xdr:cNvSpPr>
          <a:spLocks/>
        </xdr:cNvSpPr>
      </xdr:nvSpPr>
      <xdr:spPr>
        <a:xfrm>
          <a:off x="35147250" y="1362075"/>
          <a:ext cx="581025" cy="723900"/>
        </a:xfrm>
        <a:prstGeom prst="ellipse">
          <a:avLst/>
        </a:prstGeom>
        <a:solidFill>
          <a:srgbClr val="600080"/>
        </a:solidFill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133350</xdr:colOff>
      <xdr:row>10</xdr:row>
      <xdr:rowOff>38100</xdr:rowOff>
    </xdr:from>
    <xdr:to>
      <xdr:col>54</xdr:col>
      <xdr:colOff>76200</xdr:colOff>
      <xdr:row>10</xdr:row>
      <xdr:rowOff>95250</xdr:rowOff>
    </xdr:to>
    <xdr:sp>
      <xdr:nvSpPr>
        <xdr:cNvPr id="14" name="Drawing 14"/>
        <xdr:cNvSpPr>
          <a:spLocks/>
        </xdr:cNvSpPr>
      </xdr:nvSpPr>
      <xdr:spPr>
        <a:xfrm>
          <a:off x="35156775" y="1809750"/>
          <a:ext cx="552450" cy="57150"/>
        </a:xfrm>
        <a:custGeom>
          <a:pathLst>
            <a:path h="16384" w="16384">
              <a:moveTo>
                <a:pt x="16384" y="16384"/>
              </a:moveTo>
              <a:lnTo>
                <a:pt x="14689" y="10923"/>
              </a:lnTo>
              <a:lnTo>
                <a:pt x="12994" y="10923"/>
              </a:lnTo>
              <a:lnTo>
                <a:pt x="11299" y="5461"/>
              </a:lnTo>
              <a:lnTo>
                <a:pt x="10452" y="5461"/>
              </a:lnTo>
              <a:lnTo>
                <a:pt x="8757" y="0"/>
              </a:lnTo>
              <a:lnTo>
                <a:pt x="2825" y="0"/>
              </a:lnTo>
              <a:lnTo>
                <a:pt x="1977" y="2731"/>
              </a:lnTo>
              <a:lnTo>
                <a:pt x="1130" y="2731"/>
              </a:lnTo>
              <a:lnTo>
                <a:pt x="282" y="8192"/>
              </a:lnTo>
              <a:lnTo>
                <a:pt x="0" y="5461"/>
              </a:lnTo>
            </a:path>
          </a:pathLst>
        </a:custGeom>
        <a:noFill/>
        <a:ln w="2476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7</xdr:row>
      <xdr:rowOff>85725</xdr:rowOff>
    </xdr:from>
    <xdr:to>
      <xdr:col>53</xdr:col>
      <xdr:colOff>247650</xdr:colOff>
      <xdr:row>11</xdr:row>
      <xdr:rowOff>152400</xdr:rowOff>
    </xdr:to>
    <xdr:sp>
      <xdr:nvSpPr>
        <xdr:cNvPr id="15" name="Drawing 15"/>
        <xdr:cNvSpPr>
          <a:spLocks/>
        </xdr:cNvSpPr>
      </xdr:nvSpPr>
      <xdr:spPr>
        <a:xfrm>
          <a:off x="34604325" y="1371600"/>
          <a:ext cx="666750" cy="714375"/>
        </a:xfrm>
        <a:custGeom>
          <a:pathLst>
            <a:path h="16384" w="16384">
              <a:moveTo>
                <a:pt x="16384" y="400"/>
              </a:moveTo>
              <a:lnTo>
                <a:pt x="16384" y="0"/>
              </a:lnTo>
              <a:lnTo>
                <a:pt x="15682" y="0"/>
              </a:lnTo>
              <a:lnTo>
                <a:pt x="16384" y="400"/>
              </a:lnTo>
              <a:lnTo>
                <a:pt x="14980" y="0"/>
              </a:lnTo>
              <a:lnTo>
                <a:pt x="12171" y="0"/>
              </a:lnTo>
              <a:lnTo>
                <a:pt x="11469" y="400"/>
              </a:lnTo>
              <a:lnTo>
                <a:pt x="10767" y="400"/>
              </a:lnTo>
              <a:lnTo>
                <a:pt x="10064" y="1199"/>
              </a:lnTo>
              <a:lnTo>
                <a:pt x="9362" y="1199"/>
              </a:lnTo>
              <a:lnTo>
                <a:pt x="8426" y="1598"/>
              </a:lnTo>
              <a:lnTo>
                <a:pt x="7724" y="1998"/>
              </a:lnTo>
              <a:lnTo>
                <a:pt x="7022" y="1998"/>
              </a:lnTo>
              <a:lnTo>
                <a:pt x="6320" y="2797"/>
              </a:lnTo>
              <a:lnTo>
                <a:pt x="702" y="5994"/>
              </a:lnTo>
              <a:lnTo>
                <a:pt x="0" y="5994"/>
              </a:lnTo>
              <a:lnTo>
                <a:pt x="702" y="6793"/>
              </a:lnTo>
              <a:lnTo>
                <a:pt x="2107" y="6793"/>
              </a:lnTo>
              <a:lnTo>
                <a:pt x="2809" y="6394"/>
              </a:lnTo>
              <a:lnTo>
                <a:pt x="3511" y="5595"/>
              </a:lnTo>
              <a:lnTo>
                <a:pt x="5617" y="4396"/>
              </a:lnTo>
              <a:lnTo>
                <a:pt x="6320" y="3596"/>
              </a:lnTo>
              <a:lnTo>
                <a:pt x="8426" y="2398"/>
              </a:lnTo>
              <a:lnTo>
                <a:pt x="9128" y="1598"/>
              </a:lnTo>
              <a:lnTo>
                <a:pt x="9830" y="1598"/>
              </a:lnTo>
              <a:lnTo>
                <a:pt x="11235" y="799"/>
              </a:lnTo>
              <a:lnTo>
                <a:pt x="11937" y="799"/>
              </a:lnTo>
              <a:lnTo>
                <a:pt x="13341" y="0"/>
              </a:lnTo>
              <a:lnTo>
                <a:pt x="14746" y="0"/>
              </a:lnTo>
              <a:lnTo>
                <a:pt x="16384" y="400"/>
              </a:lnTo>
              <a:lnTo>
                <a:pt x="14980" y="400"/>
              </a:lnTo>
              <a:lnTo>
                <a:pt x="14277" y="1199"/>
              </a:lnTo>
              <a:lnTo>
                <a:pt x="13575" y="1598"/>
              </a:lnTo>
              <a:lnTo>
                <a:pt x="12639" y="1998"/>
              </a:lnTo>
              <a:lnTo>
                <a:pt x="11937" y="2797"/>
              </a:lnTo>
              <a:lnTo>
                <a:pt x="10533" y="3596"/>
              </a:lnTo>
              <a:lnTo>
                <a:pt x="9830" y="4396"/>
              </a:lnTo>
              <a:lnTo>
                <a:pt x="9128" y="4795"/>
              </a:lnTo>
              <a:lnTo>
                <a:pt x="7022" y="7193"/>
              </a:lnTo>
              <a:lnTo>
                <a:pt x="6320" y="7593"/>
              </a:lnTo>
              <a:lnTo>
                <a:pt x="3511" y="10789"/>
              </a:lnTo>
              <a:lnTo>
                <a:pt x="1404" y="11988"/>
              </a:lnTo>
              <a:lnTo>
                <a:pt x="2107" y="11589"/>
              </a:lnTo>
              <a:lnTo>
                <a:pt x="5617" y="7593"/>
              </a:lnTo>
              <a:lnTo>
                <a:pt x="6085" y="6394"/>
              </a:lnTo>
              <a:lnTo>
                <a:pt x="6788" y="5994"/>
              </a:lnTo>
              <a:lnTo>
                <a:pt x="7490" y="5195"/>
              </a:lnTo>
              <a:lnTo>
                <a:pt x="8192" y="4795"/>
              </a:lnTo>
              <a:lnTo>
                <a:pt x="8894" y="3996"/>
              </a:lnTo>
              <a:lnTo>
                <a:pt x="11001" y="2797"/>
              </a:lnTo>
              <a:lnTo>
                <a:pt x="11703" y="1998"/>
              </a:lnTo>
              <a:lnTo>
                <a:pt x="12405" y="1598"/>
              </a:lnTo>
              <a:lnTo>
                <a:pt x="13809" y="1598"/>
              </a:lnTo>
              <a:lnTo>
                <a:pt x="14512" y="1199"/>
              </a:lnTo>
              <a:lnTo>
                <a:pt x="16384" y="400"/>
              </a:lnTo>
              <a:lnTo>
                <a:pt x="14980" y="1199"/>
              </a:lnTo>
              <a:lnTo>
                <a:pt x="14512" y="2398"/>
              </a:lnTo>
              <a:lnTo>
                <a:pt x="13809" y="2797"/>
              </a:lnTo>
              <a:lnTo>
                <a:pt x="13107" y="3996"/>
              </a:lnTo>
              <a:lnTo>
                <a:pt x="11001" y="6394"/>
              </a:lnTo>
              <a:lnTo>
                <a:pt x="10533" y="7593"/>
              </a:lnTo>
              <a:lnTo>
                <a:pt x="9830" y="8392"/>
              </a:lnTo>
              <a:lnTo>
                <a:pt x="8426" y="10789"/>
              </a:lnTo>
              <a:lnTo>
                <a:pt x="7724" y="11589"/>
              </a:lnTo>
              <a:lnTo>
                <a:pt x="7256" y="12788"/>
              </a:lnTo>
              <a:lnTo>
                <a:pt x="6554" y="13587"/>
              </a:lnTo>
              <a:lnTo>
                <a:pt x="6085" y="14786"/>
              </a:lnTo>
              <a:lnTo>
                <a:pt x="4681" y="16384"/>
              </a:lnTo>
              <a:lnTo>
                <a:pt x="4681" y="15185"/>
              </a:lnTo>
              <a:lnTo>
                <a:pt x="5383" y="14386"/>
              </a:lnTo>
              <a:lnTo>
                <a:pt x="5851" y="13187"/>
              </a:lnTo>
              <a:lnTo>
                <a:pt x="6554" y="12388"/>
              </a:lnTo>
              <a:lnTo>
                <a:pt x="7022" y="11189"/>
              </a:lnTo>
              <a:lnTo>
                <a:pt x="7724" y="10390"/>
              </a:lnTo>
              <a:lnTo>
                <a:pt x="7958" y="9191"/>
              </a:lnTo>
              <a:lnTo>
                <a:pt x="8660" y="7992"/>
              </a:lnTo>
              <a:lnTo>
                <a:pt x="10064" y="6394"/>
              </a:lnTo>
              <a:lnTo>
                <a:pt x="10533" y="5195"/>
              </a:lnTo>
              <a:lnTo>
                <a:pt x="11235" y="4795"/>
              </a:lnTo>
              <a:lnTo>
                <a:pt x="14043" y="1598"/>
              </a:lnTo>
              <a:lnTo>
                <a:pt x="14746" y="1199"/>
              </a:lnTo>
              <a:lnTo>
                <a:pt x="16384" y="400"/>
              </a:lnTo>
              <a:close/>
            </a:path>
          </a:pathLst>
        </a:custGeom>
        <a:solidFill>
          <a:srgbClr val="800000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190500</xdr:colOff>
      <xdr:row>4</xdr:row>
      <xdr:rowOff>95250</xdr:rowOff>
    </xdr:from>
    <xdr:to>
      <xdr:col>54</xdr:col>
      <xdr:colOff>381000</xdr:colOff>
      <xdr:row>5</xdr:row>
      <xdr:rowOff>85725</xdr:rowOff>
    </xdr:to>
    <xdr:sp>
      <xdr:nvSpPr>
        <xdr:cNvPr id="16" name="Drawing 16"/>
        <xdr:cNvSpPr>
          <a:spLocks/>
        </xdr:cNvSpPr>
      </xdr:nvSpPr>
      <xdr:spPr>
        <a:xfrm>
          <a:off x="35823525" y="895350"/>
          <a:ext cx="190500" cy="152400"/>
        </a:xfrm>
        <a:custGeom>
          <a:pathLst>
            <a:path h="16384" w="16384">
              <a:moveTo>
                <a:pt x="0" y="6554"/>
              </a:moveTo>
              <a:lnTo>
                <a:pt x="0" y="5461"/>
              </a:lnTo>
              <a:lnTo>
                <a:pt x="2458" y="5461"/>
              </a:lnTo>
              <a:lnTo>
                <a:pt x="4915" y="4369"/>
              </a:lnTo>
              <a:lnTo>
                <a:pt x="12288" y="0"/>
              </a:lnTo>
              <a:lnTo>
                <a:pt x="4915" y="12015"/>
              </a:lnTo>
              <a:lnTo>
                <a:pt x="13926" y="0"/>
              </a:lnTo>
              <a:lnTo>
                <a:pt x="7373" y="15292"/>
              </a:lnTo>
              <a:lnTo>
                <a:pt x="16384" y="4369"/>
              </a:lnTo>
              <a:lnTo>
                <a:pt x="9830" y="16384"/>
              </a:lnTo>
            </a:path>
          </a:pathLst>
        </a:custGeom>
        <a:solidFill>
          <a:srgbClr val="800000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104775</xdr:colOff>
      <xdr:row>5</xdr:row>
      <xdr:rowOff>152400</xdr:rowOff>
    </xdr:from>
    <xdr:to>
      <xdr:col>54</xdr:col>
      <xdr:colOff>200025</xdr:colOff>
      <xdr:row>6</xdr:row>
      <xdr:rowOff>85725</xdr:rowOff>
    </xdr:to>
    <xdr:sp>
      <xdr:nvSpPr>
        <xdr:cNvPr id="17" name="Drawing 17"/>
        <xdr:cNvSpPr>
          <a:spLocks/>
        </xdr:cNvSpPr>
      </xdr:nvSpPr>
      <xdr:spPr>
        <a:xfrm>
          <a:off x="35737800" y="1114425"/>
          <a:ext cx="95250" cy="95250"/>
        </a:xfrm>
        <a:custGeom>
          <a:pathLst>
            <a:path h="16384" w="16384">
              <a:moveTo>
                <a:pt x="16384" y="0"/>
              </a:moveTo>
              <a:lnTo>
                <a:pt x="11469" y="0"/>
              </a:lnTo>
              <a:lnTo>
                <a:pt x="13107" y="4915"/>
              </a:lnTo>
              <a:lnTo>
                <a:pt x="1638" y="0"/>
              </a:lnTo>
              <a:lnTo>
                <a:pt x="14746" y="11469"/>
              </a:lnTo>
              <a:lnTo>
                <a:pt x="0" y="6554"/>
              </a:lnTo>
              <a:lnTo>
                <a:pt x="16384" y="16384"/>
              </a:lnTo>
            </a:path>
          </a:pathLst>
        </a:custGeom>
        <a:solidFill>
          <a:srgbClr val="00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228600</xdr:colOff>
      <xdr:row>6</xdr:row>
      <xdr:rowOff>28575</xdr:rowOff>
    </xdr:from>
    <xdr:to>
      <xdr:col>54</xdr:col>
      <xdr:colOff>257175</xdr:colOff>
      <xdr:row>6</xdr:row>
      <xdr:rowOff>66675</xdr:rowOff>
    </xdr:to>
    <xdr:sp>
      <xdr:nvSpPr>
        <xdr:cNvPr id="18" name="Drawing 18"/>
        <xdr:cNvSpPr>
          <a:spLocks/>
        </xdr:cNvSpPr>
      </xdr:nvSpPr>
      <xdr:spPr>
        <a:xfrm>
          <a:off x="35861625" y="1152525"/>
          <a:ext cx="28575" cy="38100"/>
        </a:xfrm>
        <a:custGeom>
          <a:pathLst>
            <a:path h="16384" w="16384">
              <a:moveTo>
                <a:pt x="16384" y="5461"/>
              </a:moveTo>
              <a:lnTo>
                <a:pt x="0" y="0"/>
              </a:lnTo>
              <a:lnTo>
                <a:pt x="0" y="16384"/>
              </a:lnTo>
              <a:lnTo>
                <a:pt x="16384" y="5461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T208" sqref="AT208"/>
    </sheetView>
  </sheetViews>
  <sheetFormatPr defaultColWidth="9.140625" defaultRowHeight="12.75"/>
  <cols>
    <col min="1" max="1" width="44.8515625" style="4" customWidth="1"/>
    <col min="3" max="3" width="9.28125" style="0" customWidth="1"/>
    <col min="8" max="8" width="8.421875" style="0" customWidth="1"/>
    <col min="9" max="9" width="13.140625" style="0" bestFit="1" customWidth="1"/>
    <col min="17" max="17" width="10.57421875" style="0" customWidth="1"/>
    <col min="41" max="41" width="9.28125" style="0" bestFit="1" customWidth="1"/>
  </cols>
  <sheetData>
    <row r="1" spans="1:47" s="6" customFormat="1" ht="20.25" customHeight="1" thickBot="1">
      <c r="A1" s="22" t="s">
        <v>0</v>
      </c>
      <c r="B1" s="6">
        <v>1338</v>
      </c>
      <c r="C1" s="6">
        <v>1339</v>
      </c>
      <c r="D1" s="6">
        <v>1340</v>
      </c>
      <c r="E1" s="6">
        <v>1341</v>
      </c>
      <c r="F1" s="6">
        <v>1342</v>
      </c>
      <c r="G1" s="6">
        <v>1343</v>
      </c>
      <c r="H1" s="6">
        <v>1344</v>
      </c>
      <c r="I1" s="6">
        <v>1345</v>
      </c>
      <c r="J1" s="6">
        <v>1346</v>
      </c>
      <c r="K1" s="6">
        <v>1347</v>
      </c>
      <c r="L1" s="6">
        <v>1348</v>
      </c>
      <c r="M1" s="6">
        <v>1349</v>
      </c>
      <c r="N1" s="6">
        <v>1350</v>
      </c>
      <c r="O1" s="6">
        <v>1351</v>
      </c>
      <c r="P1" s="6">
        <v>1352</v>
      </c>
      <c r="Q1" s="6">
        <v>1353</v>
      </c>
      <c r="R1" s="6">
        <v>1354</v>
      </c>
      <c r="S1" s="6">
        <v>1355</v>
      </c>
      <c r="T1" s="6">
        <v>1356</v>
      </c>
      <c r="U1" s="6">
        <v>1357</v>
      </c>
      <c r="V1" s="6">
        <v>1358</v>
      </c>
      <c r="W1" s="6">
        <v>1359</v>
      </c>
      <c r="X1" s="6">
        <v>1360</v>
      </c>
      <c r="Y1" s="6">
        <v>1361</v>
      </c>
      <c r="Z1" s="6">
        <v>1362</v>
      </c>
      <c r="AA1" s="6">
        <v>1363</v>
      </c>
      <c r="AB1" s="6">
        <v>1364</v>
      </c>
      <c r="AC1" s="6">
        <v>1365</v>
      </c>
      <c r="AD1" s="6">
        <v>1366</v>
      </c>
      <c r="AE1" s="6">
        <v>1367</v>
      </c>
      <c r="AF1" s="6">
        <v>1368</v>
      </c>
      <c r="AG1" s="6">
        <v>1369</v>
      </c>
      <c r="AH1" s="6">
        <v>1370</v>
      </c>
      <c r="AI1" s="6">
        <v>1371</v>
      </c>
      <c r="AJ1" s="6">
        <v>1372</v>
      </c>
      <c r="AK1" s="6">
        <v>1373</v>
      </c>
      <c r="AL1" s="6">
        <v>1374</v>
      </c>
      <c r="AM1" s="6">
        <v>1375</v>
      </c>
      <c r="AN1" s="6">
        <v>1376</v>
      </c>
      <c r="AO1" s="6">
        <v>1377</v>
      </c>
      <c r="AP1" s="6">
        <v>1378</v>
      </c>
      <c r="AQ1" s="6">
        <v>1379</v>
      </c>
      <c r="AR1" s="6">
        <v>1380</v>
      </c>
      <c r="AS1" s="6">
        <v>1381</v>
      </c>
      <c r="AT1" s="6">
        <v>1382</v>
      </c>
      <c r="AU1" s="6">
        <v>1383</v>
      </c>
    </row>
    <row r="2" ht="17.25" customHeight="1">
      <c r="A2" s="63" t="s">
        <v>1</v>
      </c>
    </row>
    <row r="3" spans="1:47" s="3" customFormat="1" ht="12.75">
      <c r="A3" s="7" t="s">
        <v>2</v>
      </c>
      <c r="B3" s="3">
        <f aca="true" t="shared" si="0" ref="B3:N3">SUM(B4:B7)</f>
        <v>0</v>
      </c>
      <c r="C3" s="3">
        <f t="shared" si="0"/>
        <v>0</v>
      </c>
      <c r="D3" s="3">
        <f t="shared" si="0"/>
        <v>0</v>
      </c>
      <c r="E3" s="3">
        <f t="shared" si="0"/>
        <v>0</v>
      </c>
      <c r="F3" s="3">
        <f t="shared" si="0"/>
        <v>0.4</v>
      </c>
      <c r="G3" s="3">
        <f t="shared" si="0"/>
        <v>0.5</v>
      </c>
      <c r="H3" s="3">
        <f t="shared" si="0"/>
        <v>0.7</v>
      </c>
      <c r="I3" s="3">
        <f t="shared" si="0"/>
        <v>1.2999999999999998</v>
      </c>
      <c r="J3" s="3">
        <f t="shared" si="0"/>
        <v>1.3</v>
      </c>
      <c r="K3" s="3">
        <f t="shared" si="0"/>
        <v>0.5</v>
      </c>
      <c r="L3" s="3">
        <f t="shared" si="0"/>
        <v>0.6</v>
      </c>
      <c r="M3" s="3">
        <f t="shared" si="0"/>
        <v>0.6</v>
      </c>
      <c r="N3" s="3">
        <f t="shared" si="0"/>
        <v>0.7</v>
      </c>
      <c r="O3" s="3">
        <f>O4+O5+O6+O7</f>
        <v>14.7</v>
      </c>
      <c r="P3" s="3">
        <f>P4+P5+P6+P7</f>
        <v>33.4</v>
      </c>
      <c r="Q3" s="3">
        <f>Q4+Q5+Q6+Q7</f>
        <v>51.300000000000004</v>
      </c>
      <c r="R3" s="3">
        <f>R4+R5+R6+R7</f>
        <v>77.80000000000001</v>
      </c>
      <c r="S3" s="3">
        <f aca="true" t="shared" si="1" ref="S3:AH3">S4+S5+S6+S7</f>
        <v>66.987</v>
      </c>
      <c r="T3" s="3">
        <f t="shared" si="1"/>
        <v>76.7</v>
      </c>
      <c r="U3" s="3">
        <f t="shared" si="1"/>
        <v>15.200000000000001</v>
      </c>
      <c r="V3" s="3">
        <f t="shared" si="1"/>
        <v>19.6</v>
      </c>
      <c r="W3" s="3">
        <f t="shared" si="1"/>
        <v>24.5</v>
      </c>
      <c r="X3" s="3">
        <f t="shared" si="1"/>
        <v>33.5</v>
      </c>
      <c r="Y3" s="3">
        <f t="shared" si="1"/>
        <v>30.400000000000002</v>
      </c>
      <c r="Z3" s="3">
        <f t="shared" si="1"/>
        <v>30.9</v>
      </c>
      <c r="AA3" s="3">
        <f t="shared" si="1"/>
        <v>32.1</v>
      </c>
      <c r="AB3" s="3">
        <f t="shared" si="1"/>
        <v>36</v>
      </c>
      <c r="AC3" s="3">
        <f t="shared" si="1"/>
        <v>34.6</v>
      </c>
      <c r="AD3" s="3">
        <f t="shared" si="1"/>
        <v>29.6</v>
      </c>
      <c r="AE3" s="3">
        <f t="shared" si="1"/>
        <v>36.9</v>
      </c>
      <c r="AF3" s="3">
        <f t="shared" si="1"/>
        <v>47.5</v>
      </c>
      <c r="AG3" s="3">
        <f t="shared" si="1"/>
        <v>90.3</v>
      </c>
      <c r="AH3" s="3">
        <f t="shared" si="1"/>
        <v>112</v>
      </c>
      <c r="AI3" s="3">
        <f aca="true" t="shared" si="2" ref="AI3:AQ3">AI4+AI5+AI6+AI7</f>
        <v>122.9</v>
      </c>
      <c r="AJ3" s="3">
        <f t="shared" si="2"/>
        <v>305</v>
      </c>
      <c r="AK3" s="3">
        <f t="shared" si="2"/>
        <v>334.5</v>
      </c>
      <c r="AL3" s="3">
        <f t="shared" si="2"/>
        <v>597.5</v>
      </c>
      <c r="AM3" s="3">
        <f t="shared" si="2"/>
        <v>967.8</v>
      </c>
      <c r="AN3" s="3">
        <f t="shared" si="2"/>
        <v>1230.5</v>
      </c>
      <c r="AO3" s="3">
        <f t="shared" si="2"/>
        <v>837.1</v>
      </c>
      <c r="AP3" s="3">
        <f t="shared" si="2"/>
        <v>1091.8</v>
      </c>
      <c r="AQ3" s="3">
        <f t="shared" si="2"/>
        <v>1581.9</v>
      </c>
      <c r="AR3" s="3">
        <f>AR4+AR5+AR6+AR7</f>
        <v>1925.7</v>
      </c>
      <c r="AS3" s="3">
        <f>AS4+AS5+AS6+AS7</f>
        <v>0</v>
      </c>
      <c r="AT3" s="3">
        <f>AT4+AT5+AT6+AT7</f>
        <v>0</v>
      </c>
      <c r="AU3" s="3">
        <f>AU4+AU5+AU6+AU7</f>
        <v>0</v>
      </c>
    </row>
    <row r="4" spans="1:44" ht="12.75">
      <c r="A4" s="8" t="s">
        <v>3</v>
      </c>
      <c r="B4" s="33" t="s">
        <v>4</v>
      </c>
      <c r="C4" s="33" t="s">
        <v>4</v>
      </c>
      <c r="D4" s="33" t="s">
        <v>4</v>
      </c>
      <c r="E4">
        <v>0</v>
      </c>
      <c r="F4">
        <v>0.1</v>
      </c>
      <c r="G4">
        <v>0.1</v>
      </c>
      <c r="H4">
        <v>0.1</v>
      </c>
      <c r="I4">
        <v>0.7</v>
      </c>
      <c r="J4">
        <v>0.5</v>
      </c>
      <c r="K4">
        <v>0.5</v>
      </c>
      <c r="L4">
        <v>0.6</v>
      </c>
      <c r="M4">
        <v>0.6</v>
      </c>
      <c r="N4">
        <v>0.7</v>
      </c>
      <c r="O4">
        <v>0</v>
      </c>
      <c r="P4">
        <v>0</v>
      </c>
      <c r="Q4">
        <v>0</v>
      </c>
      <c r="V4">
        <v>0.6</v>
      </c>
      <c r="W4">
        <v>0.7</v>
      </c>
      <c r="X4">
        <v>0.4</v>
      </c>
      <c r="Y4">
        <v>0.5</v>
      </c>
      <c r="Z4">
        <v>1.2</v>
      </c>
      <c r="AA4">
        <v>1.3</v>
      </c>
      <c r="AB4">
        <v>1.9</v>
      </c>
      <c r="AC4">
        <v>3.2</v>
      </c>
      <c r="AD4">
        <v>2.8</v>
      </c>
      <c r="AE4">
        <v>4.1</v>
      </c>
      <c r="AF4">
        <v>6.4</v>
      </c>
      <c r="AG4">
        <v>12.1</v>
      </c>
      <c r="AH4">
        <v>21.6</v>
      </c>
      <c r="AI4">
        <v>11.1</v>
      </c>
      <c r="AJ4">
        <v>50.2</v>
      </c>
      <c r="AK4">
        <v>49.6</v>
      </c>
      <c r="AL4">
        <v>66.5</v>
      </c>
      <c r="AM4">
        <v>124.7</v>
      </c>
      <c r="AN4">
        <v>112.7</v>
      </c>
      <c r="AO4">
        <v>83.6</v>
      </c>
      <c r="AP4">
        <v>76.6</v>
      </c>
      <c r="AQ4">
        <v>102.1</v>
      </c>
      <c r="AR4">
        <v>168.9</v>
      </c>
    </row>
    <row r="5" spans="1:44" ht="12.75">
      <c r="A5" s="8" t="s">
        <v>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1.1</v>
      </c>
      <c r="P5">
        <v>1.4</v>
      </c>
      <c r="Q5">
        <v>5.1</v>
      </c>
      <c r="R5">
        <v>6.4</v>
      </c>
      <c r="V5">
        <v>1.7</v>
      </c>
      <c r="W5">
        <v>3.9</v>
      </c>
      <c r="X5">
        <v>3.4</v>
      </c>
      <c r="Y5">
        <v>4.3</v>
      </c>
      <c r="Z5">
        <v>4.5</v>
      </c>
      <c r="AA5">
        <v>6</v>
      </c>
      <c r="AB5">
        <v>4.6</v>
      </c>
      <c r="AC5">
        <v>5</v>
      </c>
      <c r="AD5">
        <v>2.2</v>
      </c>
      <c r="AE5">
        <v>3.9</v>
      </c>
      <c r="AF5">
        <v>5.5</v>
      </c>
      <c r="AG5">
        <v>11.1</v>
      </c>
      <c r="AH5">
        <v>12.7</v>
      </c>
      <c r="AI5">
        <v>15.5</v>
      </c>
      <c r="AJ5">
        <v>53.6</v>
      </c>
      <c r="AK5">
        <v>61.5</v>
      </c>
      <c r="AL5">
        <v>159.9</v>
      </c>
      <c r="AM5">
        <v>223</v>
      </c>
      <c r="AN5">
        <v>224.1</v>
      </c>
      <c r="AO5">
        <v>168.4</v>
      </c>
      <c r="AP5">
        <v>251.5</v>
      </c>
      <c r="AQ5">
        <v>247.2</v>
      </c>
      <c r="AR5">
        <v>305.2</v>
      </c>
    </row>
    <row r="6" spans="1:44" ht="12.75">
      <c r="A6" s="8" t="s">
        <v>6</v>
      </c>
      <c r="B6" s="33" t="s">
        <v>4</v>
      </c>
      <c r="C6" s="33" t="s">
        <v>4</v>
      </c>
      <c r="D6" s="33" t="s">
        <v>4</v>
      </c>
      <c r="E6" s="33" t="s">
        <v>4</v>
      </c>
      <c r="F6" s="33" t="s">
        <v>4</v>
      </c>
      <c r="G6" s="33" t="s">
        <v>4</v>
      </c>
      <c r="H6" s="33" t="s">
        <v>4</v>
      </c>
      <c r="I6" s="33" t="s">
        <v>4</v>
      </c>
      <c r="J6" s="33" t="s">
        <v>4</v>
      </c>
      <c r="K6" s="33" t="s">
        <v>4</v>
      </c>
      <c r="L6" s="33" t="s">
        <v>4</v>
      </c>
      <c r="M6" s="33" t="s">
        <v>4</v>
      </c>
      <c r="N6" s="33" t="s">
        <v>4</v>
      </c>
      <c r="O6">
        <v>13</v>
      </c>
      <c r="P6">
        <v>31.6</v>
      </c>
      <c r="Q6">
        <v>45.1</v>
      </c>
      <c r="R6">
        <v>68.7</v>
      </c>
      <c r="S6">
        <v>66.987</v>
      </c>
      <c r="T6">
        <v>62.1</v>
      </c>
      <c r="U6">
        <v>6.4</v>
      </c>
      <c r="V6">
        <v>17.3</v>
      </c>
      <c r="W6">
        <v>19.9</v>
      </c>
      <c r="X6">
        <v>29.7</v>
      </c>
      <c r="Y6">
        <v>25.6</v>
      </c>
      <c r="Z6">
        <v>25.2</v>
      </c>
      <c r="AA6">
        <v>24.5</v>
      </c>
      <c r="AB6">
        <v>29.5</v>
      </c>
      <c r="AC6">
        <v>26.3</v>
      </c>
      <c r="AD6">
        <v>24.6</v>
      </c>
      <c r="AE6">
        <v>28.8</v>
      </c>
      <c r="AF6">
        <v>35.2</v>
      </c>
      <c r="AG6">
        <v>67</v>
      </c>
      <c r="AH6">
        <v>77.5</v>
      </c>
      <c r="AI6">
        <v>96.2</v>
      </c>
      <c r="AJ6">
        <v>201.1</v>
      </c>
      <c r="AK6">
        <v>218.6</v>
      </c>
      <c r="AL6">
        <v>371.1</v>
      </c>
      <c r="AM6">
        <v>505.3</v>
      </c>
      <c r="AN6">
        <v>771.5</v>
      </c>
      <c r="AO6">
        <v>491.9</v>
      </c>
      <c r="AP6">
        <v>761.5</v>
      </c>
      <c r="AQ6">
        <v>603</v>
      </c>
      <c r="AR6">
        <v>662.8</v>
      </c>
    </row>
    <row r="7" spans="1:48" ht="12.75">
      <c r="A7" s="8" t="s">
        <v>7</v>
      </c>
      <c r="B7" s="33" t="s">
        <v>4</v>
      </c>
      <c r="C7" s="33" t="s">
        <v>4</v>
      </c>
      <c r="D7" s="33" t="s">
        <v>4</v>
      </c>
      <c r="E7" s="33" t="s">
        <v>4</v>
      </c>
      <c r="F7" s="46">
        <v>0.3</v>
      </c>
      <c r="G7" s="47">
        <v>0.4</v>
      </c>
      <c r="H7" s="47">
        <v>0.6</v>
      </c>
      <c r="I7" s="47">
        <v>0.6</v>
      </c>
      <c r="J7" s="47">
        <v>0.8</v>
      </c>
      <c r="K7">
        <v>0</v>
      </c>
      <c r="L7">
        <v>0</v>
      </c>
      <c r="M7">
        <v>0</v>
      </c>
      <c r="N7">
        <v>0</v>
      </c>
      <c r="O7">
        <v>0.6</v>
      </c>
      <c r="P7">
        <v>0.4</v>
      </c>
      <c r="Q7">
        <v>1.1</v>
      </c>
      <c r="R7">
        <v>2.7</v>
      </c>
      <c r="T7">
        <v>14.6</v>
      </c>
      <c r="U7">
        <v>8.8</v>
      </c>
      <c r="V7">
        <v>0</v>
      </c>
      <c r="W7">
        <v>0</v>
      </c>
      <c r="X7">
        <v>0</v>
      </c>
      <c r="Y7">
        <v>0</v>
      </c>
      <c r="Z7">
        <v>0</v>
      </c>
      <c r="AA7">
        <v>0.3</v>
      </c>
      <c r="AB7">
        <v>0</v>
      </c>
      <c r="AC7">
        <v>0.1</v>
      </c>
      <c r="AD7">
        <v>0</v>
      </c>
      <c r="AE7">
        <v>0.1</v>
      </c>
      <c r="AF7">
        <v>0.4</v>
      </c>
      <c r="AG7">
        <v>0.1</v>
      </c>
      <c r="AH7">
        <v>0.2</v>
      </c>
      <c r="AI7">
        <v>0.1</v>
      </c>
      <c r="AJ7">
        <v>0.1</v>
      </c>
      <c r="AK7">
        <v>4.8</v>
      </c>
      <c r="AL7">
        <v>0</v>
      </c>
      <c r="AM7">
        <v>114.8</v>
      </c>
      <c r="AN7">
        <v>122.2</v>
      </c>
      <c r="AO7">
        <v>93.2</v>
      </c>
      <c r="AP7">
        <v>2.2</v>
      </c>
      <c r="AQ7">
        <v>629.6</v>
      </c>
      <c r="AR7">
        <v>788.8</v>
      </c>
      <c r="AV7" s="47" t="s">
        <v>8</v>
      </c>
    </row>
    <row r="8" ht="12.75">
      <c r="A8" s="8"/>
    </row>
    <row r="9" spans="1:48" s="3" customFormat="1" ht="12.75">
      <c r="A9" s="68" t="s">
        <v>135</v>
      </c>
      <c r="B9" s="57"/>
      <c r="C9" s="57"/>
      <c r="D9" s="57"/>
      <c r="E9" s="57"/>
      <c r="AM9" s="3">
        <v>0</v>
      </c>
      <c r="AN9" s="3">
        <v>0</v>
      </c>
      <c r="AO9" s="3">
        <v>206.5</v>
      </c>
      <c r="AP9" s="3">
        <v>376.2</v>
      </c>
      <c r="AQ9" s="3">
        <v>388.1</v>
      </c>
      <c r="AR9" s="3">
        <v>596</v>
      </c>
      <c r="AV9" s="41"/>
    </row>
    <row r="10" ht="12.75">
      <c r="A10" s="8"/>
    </row>
    <row r="11" spans="1:48" s="3" customFormat="1" ht="12.75">
      <c r="A11" s="7" t="s">
        <v>9</v>
      </c>
      <c r="B11" s="57">
        <v>1.27</v>
      </c>
      <c r="C11" s="57">
        <f>1.485+C21</f>
        <v>3.9670000000000005</v>
      </c>
      <c r="D11" s="57">
        <f>1.924+D21</f>
        <v>4.763999999999999</v>
      </c>
      <c r="E11" s="57">
        <f>2.643+E21</f>
        <v>3.8</v>
      </c>
      <c r="F11" s="3">
        <f aca="true" t="shared" si="3" ref="F11:AS11">SUM(F12:F23)</f>
        <v>4.300000000000001</v>
      </c>
      <c r="G11" s="3">
        <f t="shared" si="3"/>
        <v>6.6000000000000005</v>
      </c>
      <c r="H11" s="3">
        <f t="shared" si="3"/>
        <v>11.9</v>
      </c>
      <c r="I11" s="3">
        <f t="shared" si="3"/>
        <v>12.9</v>
      </c>
      <c r="J11" s="3">
        <f t="shared" si="3"/>
        <v>13.200000000000001</v>
      </c>
      <c r="K11" s="3">
        <f t="shared" si="3"/>
        <v>16.9</v>
      </c>
      <c r="L11" s="3">
        <f t="shared" si="3"/>
        <v>19.499999999999996</v>
      </c>
      <c r="M11" s="3">
        <f t="shared" si="3"/>
        <v>24.799999999999997</v>
      </c>
      <c r="N11" s="3">
        <f t="shared" si="3"/>
        <v>36.400000000000006</v>
      </c>
      <c r="O11" s="3">
        <f t="shared" si="3"/>
        <v>22.9</v>
      </c>
      <c r="P11" s="3">
        <f t="shared" si="3"/>
        <v>35.6</v>
      </c>
      <c r="Q11" s="3">
        <f t="shared" si="3"/>
        <v>83.30000000000001</v>
      </c>
      <c r="R11" s="3">
        <f t="shared" si="3"/>
        <v>104.71199999999999</v>
      </c>
      <c r="S11" s="3">
        <f t="shared" si="3"/>
        <v>123.6</v>
      </c>
      <c r="T11" s="3">
        <f t="shared" si="3"/>
        <v>147.89999999999998</v>
      </c>
      <c r="U11" s="3">
        <f t="shared" si="3"/>
        <v>126.29999999999998</v>
      </c>
      <c r="V11" s="3">
        <f t="shared" si="3"/>
        <v>133.89999999999998</v>
      </c>
      <c r="W11" s="3">
        <f t="shared" si="3"/>
        <v>166.8</v>
      </c>
      <c r="X11" s="3">
        <f t="shared" si="3"/>
        <v>166.1</v>
      </c>
      <c r="Y11" s="3">
        <f t="shared" si="3"/>
        <v>176.59999999999997</v>
      </c>
      <c r="Z11" s="3">
        <f t="shared" si="3"/>
        <v>205.29999999999998</v>
      </c>
      <c r="AA11" s="3">
        <f t="shared" si="3"/>
        <v>175.6</v>
      </c>
      <c r="AB11" s="3">
        <f t="shared" si="3"/>
        <v>140.8</v>
      </c>
      <c r="AC11" s="3">
        <f t="shared" si="3"/>
        <v>114.5</v>
      </c>
      <c r="AD11" s="3">
        <f t="shared" si="3"/>
        <v>173.4</v>
      </c>
      <c r="AE11" s="3">
        <f t="shared" si="3"/>
        <v>226.79999999999998</v>
      </c>
      <c r="AF11" s="3">
        <f t="shared" si="3"/>
        <v>275.6</v>
      </c>
      <c r="AG11" s="3">
        <f t="shared" si="3"/>
        <v>609.8</v>
      </c>
      <c r="AH11" s="3">
        <f t="shared" si="3"/>
        <v>852.3</v>
      </c>
      <c r="AI11" s="3">
        <f t="shared" si="3"/>
        <v>1177.1</v>
      </c>
      <c r="AJ11" s="3">
        <f t="shared" si="3"/>
        <v>2444.2999999999993</v>
      </c>
      <c r="AK11" s="3">
        <f t="shared" si="3"/>
        <v>2777.0999999999995</v>
      </c>
      <c r="AL11" s="3">
        <f t="shared" si="3"/>
        <v>3721.0000000000005</v>
      </c>
      <c r="AM11" s="3">
        <f t="shared" si="3"/>
        <v>5870.4000000000015</v>
      </c>
      <c r="AN11" s="3">
        <f t="shared" si="3"/>
        <v>6156.3</v>
      </c>
      <c r="AO11" s="3">
        <f t="shared" si="3"/>
        <v>5648.8</v>
      </c>
      <c r="AP11" s="3">
        <f t="shared" si="3"/>
        <v>7056.5999999999985</v>
      </c>
      <c r="AQ11" s="3">
        <f t="shared" si="3"/>
        <v>10053.000000000002</v>
      </c>
      <c r="AR11" s="3">
        <f t="shared" si="3"/>
        <v>10687.599999999999</v>
      </c>
      <c r="AS11" s="3">
        <f t="shared" si="3"/>
        <v>0</v>
      </c>
      <c r="AT11" s="3">
        <f>SUM(AT12:AT23)</f>
        <v>0</v>
      </c>
      <c r="AU11" s="3">
        <f>SUM(AU12:AU23)</f>
        <v>0</v>
      </c>
      <c r="AV11" s="41" t="s">
        <v>10</v>
      </c>
    </row>
    <row r="12" spans="1:44" ht="12.75">
      <c r="A12" s="8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7</v>
      </c>
      <c r="L12">
        <v>7.9</v>
      </c>
      <c r="M12">
        <v>9</v>
      </c>
      <c r="N12">
        <v>11.9</v>
      </c>
      <c r="O12">
        <v>5.7</v>
      </c>
      <c r="P12">
        <v>9.2</v>
      </c>
      <c r="Q12">
        <v>18.8</v>
      </c>
      <c r="R12">
        <v>26.3</v>
      </c>
      <c r="S12">
        <v>25.5</v>
      </c>
      <c r="T12">
        <v>36.3</v>
      </c>
      <c r="U12">
        <v>41</v>
      </c>
      <c r="V12">
        <v>44.1</v>
      </c>
      <c r="W12">
        <v>60.2</v>
      </c>
      <c r="X12">
        <v>53</v>
      </c>
      <c r="Y12">
        <v>55.1</v>
      </c>
      <c r="Z12">
        <v>40.6</v>
      </c>
      <c r="AA12">
        <v>30.1</v>
      </c>
      <c r="AB12">
        <v>18.1</v>
      </c>
      <c r="AC12">
        <v>13.6</v>
      </c>
      <c r="AD12">
        <v>28.7</v>
      </c>
      <c r="AE12">
        <v>54.4</v>
      </c>
      <c r="AF12">
        <v>76.7</v>
      </c>
      <c r="AG12">
        <v>167.5</v>
      </c>
      <c r="AH12">
        <v>256.1</v>
      </c>
      <c r="AI12">
        <v>352.1</v>
      </c>
      <c r="AJ12">
        <v>618.9</v>
      </c>
      <c r="AK12">
        <v>666.5</v>
      </c>
      <c r="AL12">
        <v>806.5</v>
      </c>
      <c r="AM12">
        <v>1002.2</v>
      </c>
      <c r="AN12">
        <v>1089.7</v>
      </c>
      <c r="AO12">
        <v>917.5</v>
      </c>
      <c r="AP12">
        <v>1033.3</v>
      </c>
      <c r="AQ12">
        <v>1485</v>
      </c>
      <c r="AR12">
        <v>1452</v>
      </c>
    </row>
    <row r="13" spans="1:44" ht="12.75">
      <c r="A13" s="8" t="s">
        <v>12</v>
      </c>
      <c r="B13" s="33" t="s">
        <v>4</v>
      </c>
      <c r="C13" s="33" t="s">
        <v>4</v>
      </c>
      <c r="D13" s="33" t="s">
        <v>4</v>
      </c>
      <c r="E13" s="33" t="s">
        <v>4</v>
      </c>
      <c r="F13">
        <v>1.4</v>
      </c>
      <c r="G13">
        <v>2</v>
      </c>
      <c r="H13">
        <v>3.6</v>
      </c>
      <c r="I13">
        <v>5.3</v>
      </c>
      <c r="J13">
        <v>4.9</v>
      </c>
      <c r="K13">
        <v>0.1</v>
      </c>
      <c r="L13">
        <v>0.1</v>
      </c>
      <c r="M13">
        <v>0.2</v>
      </c>
      <c r="N13">
        <v>0.4</v>
      </c>
      <c r="O13">
        <v>0.5</v>
      </c>
      <c r="P13">
        <v>0.7</v>
      </c>
      <c r="Q13">
        <v>1.6</v>
      </c>
      <c r="R13">
        <v>2.5</v>
      </c>
      <c r="S13">
        <v>2.2</v>
      </c>
      <c r="T13">
        <v>3.3</v>
      </c>
      <c r="U13">
        <v>2</v>
      </c>
      <c r="V13">
        <v>1.4</v>
      </c>
      <c r="W13">
        <v>0.5</v>
      </c>
      <c r="X13">
        <v>0.9</v>
      </c>
      <c r="Y13">
        <v>0.7</v>
      </c>
      <c r="Z13">
        <v>1.4</v>
      </c>
      <c r="AA13">
        <v>1</v>
      </c>
      <c r="AB13">
        <v>1.1</v>
      </c>
      <c r="AC13">
        <v>1.5</v>
      </c>
      <c r="AD13">
        <v>1.6</v>
      </c>
      <c r="AE13">
        <v>3.3</v>
      </c>
      <c r="AF13">
        <v>5.6</v>
      </c>
      <c r="AG13">
        <v>10.9</v>
      </c>
      <c r="AH13">
        <v>18.8</v>
      </c>
      <c r="AI13">
        <v>29</v>
      </c>
      <c r="AJ13">
        <v>81.2</v>
      </c>
      <c r="AK13">
        <v>91.8</v>
      </c>
      <c r="AL13">
        <v>188.5</v>
      </c>
      <c r="AM13">
        <v>320.7</v>
      </c>
      <c r="AN13">
        <v>389.1</v>
      </c>
      <c r="AO13">
        <v>352.2</v>
      </c>
      <c r="AP13">
        <v>414</v>
      </c>
      <c r="AQ13">
        <v>672.8</v>
      </c>
      <c r="AR13">
        <v>656.3</v>
      </c>
    </row>
    <row r="14" spans="1:44" ht="12.75">
      <c r="A14" s="8" t="s">
        <v>13</v>
      </c>
      <c r="B14" s="33" t="s">
        <v>4</v>
      </c>
      <c r="C14" s="33" t="s">
        <v>4</v>
      </c>
      <c r="D14" s="33" t="s">
        <v>4</v>
      </c>
      <c r="E14" s="33" t="s">
        <v>4</v>
      </c>
      <c r="F14">
        <v>1.3</v>
      </c>
      <c r="G14">
        <v>1.6</v>
      </c>
      <c r="H14">
        <v>3</v>
      </c>
      <c r="I14">
        <v>3.2</v>
      </c>
      <c r="J14">
        <v>3.7</v>
      </c>
      <c r="K14">
        <v>3.5</v>
      </c>
      <c r="L14">
        <v>4.5</v>
      </c>
      <c r="M14">
        <v>5.2</v>
      </c>
      <c r="N14">
        <v>6.9</v>
      </c>
      <c r="O14">
        <v>2</v>
      </c>
      <c r="P14">
        <v>2.7</v>
      </c>
      <c r="Q14">
        <v>4.8</v>
      </c>
      <c r="R14">
        <v>4.9</v>
      </c>
      <c r="S14">
        <v>6.1</v>
      </c>
      <c r="T14">
        <v>8.3</v>
      </c>
      <c r="U14">
        <v>12.2</v>
      </c>
      <c r="V14">
        <v>12.3</v>
      </c>
      <c r="W14">
        <v>24.2</v>
      </c>
      <c r="X14">
        <v>26.3</v>
      </c>
      <c r="Y14">
        <v>21.7</v>
      </c>
      <c r="Z14">
        <v>32.2</v>
      </c>
      <c r="AA14">
        <v>35.1</v>
      </c>
      <c r="AB14">
        <v>27.1</v>
      </c>
      <c r="AC14">
        <v>18.6</v>
      </c>
      <c r="AD14">
        <v>29.1</v>
      </c>
      <c r="AE14">
        <v>41.1</v>
      </c>
      <c r="AF14">
        <v>55.2</v>
      </c>
      <c r="AG14">
        <v>111.8</v>
      </c>
      <c r="AH14">
        <v>201.4</v>
      </c>
      <c r="AI14">
        <v>271.2</v>
      </c>
      <c r="AJ14">
        <v>540.9</v>
      </c>
      <c r="AK14">
        <v>565</v>
      </c>
      <c r="AL14">
        <v>428.8</v>
      </c>
      <c r="AM14">
        <v>717.9</v>
      </c>
      <c r="AN14">
        <v>563.1</v>
      </c>
      <c r="AO14">
        <v>496.3</v>
      </c>
      <c r="AP14">
        <v>526.4</v>
      </c>
      <c r="AQ14">
        <v>594.7</v>
      </c>
      <c r="AR14">
        <v>1081</v>
      </c>
    </row>
    <row r="15" spans="1:44" ht="12.75">
      <c r="A15" s="8" t="s">
        <v>14</v>
      </c>
      <c r="B15" s="44">
        <v>0</v>
      </c>
      <c r="C15" s="44">
        <v>0</v>
      </c>
      <c r="D15" s="44">
        <v>0</v>
      </c>
      <c r="E15" s="44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0.3</v>
      </c>
      <c r="L15">
        <v>0.6</v>
      </c>
      <c r="M15">
        <v>0.9</v>
      </c>
      <c r="N15">
        <v>1.4</v>
      </c>
      <c r="O15">
        <v>0.2</v>
      </c>
      <c r="P15">
        <v>0.1</v>
      </c>
      <c r="Q15">
        <v>0.6</v>
      </c>
      <c r="R15">
        <v>1.15</v>
      </c>
      <c r="S15">
        <v>1.9</v>
      </c>
      <c r="T15">
        <v>2.4</v>
      </c>
      <c r="U15">
        <v>2.3</v>
      </c>
      <c r="V15">
        <v>2.5</v>
      </c>
      <c r="W15">
        <v>2.3</v>
      </c>
      <c r="X15">
        <v>2.1</v>
      </c>
      <c r="Y15">
        <v>1.9</v>
      </c>
      <c r="Z15">
        <v>2.6</v>
      </c>
      <c r="AA15">
        <v>2.9</v>
      </c>
      <c r="AB15">
        <v>1.9</v>
      </c>
      <c r="AC15">
        <v>1.4</v>
      </c>
      <c r="AD15">
        <v>2.7</v>
      </c>
      <c r="AE15">
        <v>3.5</v>
      </c>
      <c r="AF15">
        <v>4.5</v>
      </c>
      <c r="AG15">
        <v>8.8</v>
      </c>
      <c r="AH15">
        <v>11.6</v>
      </c>
      <c r="AI15">
        <v>17.4</v>
      </c>
      <c r="AJ15">
        <v>52.8</v>
      </c>
      <c r="AK15">
        <v>47.7</v>
      </c>
      <c r="AL15">
        <v>51</v>
      </c>
      <c r="AM15">
        <v>56.3</v>
      </c>
      <c r="AN15">
        <v>49.2</v>
      </c>
      <c r="AO15">
        <v>43.6</v>
      </c>
      <c r="AP15">
        <v>53.8</v>
      </c>
      <c r="AQ15">
        <v>85.3</v>
      </c>
      <c r="AR15">
        <v>95.6</v>
      </c>
    </row>
    <row r="16" spans="1:44" ht="12.75">
      <c r="A16" s="8" t="s">
        <v>15</v>
      </c>
      <c r="B16" s="44">
        <v>0</v>
      </c>
      <c r="C16" s="44">
        <v>0</v>
      </c>
      <c r="D16" s="44">
        <v>0</v>
      </c>
      <c r="E16" s="44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1.5</v>
      </c>
      <c r="P16">
        <v>3.3</v>
      </c>
      <c r="Q16">
        <v>6.1</v>
      </c>
      <c r="R16">
        <v>1.8</v>
      </c>
      <c r="S16">
        <v>1.8</v>
      </c>
      <c r="T16">
        <v>2.1</v>
      </c>
      <c r="U16">
        <v>5.3</v>
      </c>
      <c r="V16">
        <v>4</v>
      </c>
      <c r="W16">
        <v>4.5</v>
      </c>
      <c r="X16">
        <v>3.8</v>
      </c>
      <c r="Y16">
        <v>2.8</v>
      </c>
      <c r="Z16">
        <v>3.5</v>
      </c>
      <c r="AA16">
        <v>4</v>
      </c>
      <c r="AB16">
        <v>2.6</v>
      </c>
      <c r="AC16">
        <v>2.1</v>
      </c>
      <c r="AD16">
        <v>4.2</v>
      </c>
      <c r="AE16">
        <v>8.6</v>
      </c>
      <c r="AF16">
        <v>12.5</v>
      </c>
      <c r="AG16">
        <v>18.2</v>
      </c>
      <c r="AH16">
        <v>29</v>
      </c>
      <c r="AI16">
        <v>36.5</v>
      </c>
      <c r="AJ16">
        <v>64.2</v>
      </c>
      <c r="AK16">
        <v>87.9</v>
      </c>
      <c r="AL16">
        <v>156.7</v>
      </c>
      <c r="AM16">
        <v>270.8</v>
      </c>
      <c r="AN16">
        <v>345.4</v>
      </c>
      <c r="AO16">
        <v>378</v>
      </c>
      <c r="AP16">
        <v>467.3</v>
      </c>
      <c r="AQ16">
        <v>560.1</v>
      </c>
      <c r="AR16">
        <v>723.5</v>
      </c>
    </row>
    <row r="17" spans="1:44" ht="12.75">
      <c r="A17" s="8" t="s">
        <v>16</v>
      </c>
      <c r="B17" s="33" t="s">
        <v>4</v>
      </c>
      <c r="C17" s="33" t="s">
        <v>4</v>
      </c>
      <c r="D17" s="33" t="s">
        <v>4</v>
      </c>
      <c r="E17" s="33" t="s">
        <v>4</v>
      </c>
      <c r="F17">
        <v>0.7</v>
      </c>
      <c r="G17">
        <v>0.8</v>
      </c>
      <c r="H17">
        <v>1.8</v>
      </c>
      <c r="I17">
        <v>1.9</v>
      </c>
      <c r="J17">
        <v>1.5</v>
      </c>
      <c r="K17">
        <v>1.6</v>
      </c>
      <c r="L17">
        <v>1.1</v>
      </c>
      <c r="M17">
        <v>1</v>
      </c>
      <c r="N17">
        <v>1.6</v>
      </c>
      <c r="O17">
        <v>3</v>
      </c>
      <c r="P17">
        <v>3.1</v>
      </c>
      <c r="Q17">
        <v>8.9</v>
      </c>
      <c r="R17">
        <v>11.52</v>
      </c>
      <c r="S17">
        <v>13.4</v>
      </c>
      <c r="T17">
        <v>18.2</v>
      </c>
      <c r="U17">
        <v>12.2</v>
      </c>
      <c r="V17">
        <v>20.2</v>
      </c>
      <c r="W17">
        <v>18.3</v>
      </c>
      <c r="X17">
        <v>21.8</v>
      </c>
      <c r="Y17">
        <v>18.4</v>
      </c>
      <c r="Z17">
        <v>18.3</v>
      </c>
      <c r="AA17">
        <v>8.8</v>
      </c>
      <c r="AB17">
        <v>17.7</v>
      </c>
      <c r="AC17">
        <v>13</v>
      </c>
      <c r="AD17">
        <v>25.7</v>
      </c>
      <c r="AE17">
        <v>30.5</v>
      </c>
      <c r="AF17">
        <v>31</v>
      </c>
      <c r="AG17">
        <v>60.7</v>
      </c>
      <c r="AH17">
        <v>70.9</v>
      </c>
      <c r="AI17">
        <v>126.5</v>
      </c>
      <c r="AJ17">
        <v>322.3</v>
      </c>
      <c r="AK17">
        <v>360</v>
      </c>
      <c r="AL17">
        <v>514.6</v>
      </c>
      <c r="AM17">
        <v>678.8</v>
      </c>
      <c r="AN17">
        <v>892.5</v>
      </c>
      <c r="AO17">
        <v>655.6</v>
      </c>
      <c r="AP17">
        <v>1116</v>
      </c>
      <c r="AQ17">
        <v>2088.2</v>
      </c>
      <c r="AR17">
        <v>1498.3</v>
      </c>
    </row>
    <row r="18" spans="1:44" ht="12.75">
      <c r="A18" s="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0.6</v>
      </c>
      <c r="L18">
        <v>0.6</v>
      </c>
      <c r="M18">
        <v>1.3</v>
      </c>
      <c r="N18">
        <v>3.3</v>
      </c>
      <c r="O18">
        <v>2.8</v>
      </c>
      <c r="P18">
        <v>2.9</v>
      </c>
      <c r="Q18">
        <v>5.8</v>
      </c>
      <c r="R18">
        <v>4</v>
      </c>
      <c r="S18">
        <v>5</v>
      </c>
      <c r="T18">
        <v>0.6</v>
      </c>
      <c r="U18">
        <v>10.8</v>
      </c>
      <c r="V18">
        <v>10.5</v>
      </c>
      <c r="W18">
        <v>2.8</v>
      </c>
      <c r="X18">
        <v>4.2</v>
      </c>
      <c r="Y18">
        <v>5.5</v>
      </c>
      <c r="Z18">
        <v>7.3</v>
      </c>
      <c r="AA18">
        <v>5</v>
      </c>
      <c r="AB18">
        <v>3.8</v>
      </c>
      <c r="AC18">
        <v>7.3</v>
      </c>
      <c r="AD18">
        <v>7.1</v>
      </c>
      <c r="AE18">
        <v>8.6</v>
      </c>
      <c r="AF18">
        <v>14.1</v>
      </c>
      <c r="AG18">
        <v>20.7</v>
      </c>
      <c r="AH18">
        <v>27.4</v>
      </c>
      <c r="AI18">
        <v>39</v>
      </c>
      <c r="AJ18">
        <v>85.5</v>
      </c>
      <c r="AK18">
        <v>69.3</v>
      </c>
      <c r="AL18">
        <v>717.7</v>
      </c>
      <c r="AM18">
        <v>1252.3</v>
      </c>
      <c r="AN18">
        <v>1221.2</v>
      </c>
      <c r="AO18">
        <v>1353.5</v>
      </c>
      <c r="AP18">
        <v>1375.2</v>
      </c>
      <c r="AQ18">
        <v>1999</v>
      </c>
      <c r="AR18">
        <v>1489.1</v>
      </c>
    </row>
    <row r="19" spans="1:44" ht="12.75">
      <c r="A19" s="8" t="s">
        <v>18</v>
      </c>
      <c r="B19">
        <v>0</v>
      </c>
      <c r="C19">
        <v>0</v>
      </c>
      <c r="D19">
        <v>0</v>
      </c>
      <c r="E19">
        <v>0</v>
      </c>
      <c r="F19">
        <v>0.9</v>
      </c>
      <c r="G19">
        <v>2.2</v>
      </c>
      <c r="H19">
        <v>3.5</v>
      </c>
      <c r="I19">
        <v>2.5</v>
      </c>
      <c r="J19">
        <v>3.1</v>
      </c>
      <c r="K19">
        <v>3.4</v>
      </c>
      <c r="L19">
        <v>4</v>
      </c>
      <c r="M19">
        <v>6.8</v>
      </c>
      <c r="N19">
        <v>10.3</v>
      </c>
      <c r="O19">
        <v>7.2</v>
      </c>
      <c r="P19">
        <v>13.5</v>
      </c>
      <c r="Q19">
        <v>36.3</v>
      </c>
      <c r="R19">
        <v>51.8</v>
      </c>
      <c r="S19">
        <v>66.8</v>
      </c>
      <c r="T19">
        <v>75.6</v>
      </c>
      <c r="U19">
        <v>39.4</v>
      </c>
      <c r="V19">
        <v>38.1</v>
      </c>
      <c r="W19">
        <v>53.1</v>
      </c>
      <c r="X19">
        <v>52.7</v>
      </c>
      <c r="Y19">
        <v>63.6</v>
      </c>
      <c r="Z19">
        <v>67.5</v>
      </c>
      <c r="AA19">
        <v>44.7</v>
      </c>
      <c r="AB19">
        <v>29.6</v>
      </c>
      <c r="AC19">
        <v>18.8</v>
      </c>
      <c r="AD19">
        <v>36.6</v>
      </c>
      <c r="AE19">
        <v>27.2</v>
      </c>
      <c r="AF19">
        <v>13.7</v>
      </c>
      <c r="AG19">
        <v>103.7</v>
      </c>
      <c r="AH19">
        <v>85.3</v>
      </c>
      <c r="AI19">
        <v>88.9</v>
      </c>
      <c r="AJ19">
        <v>164.6</v>
      </c>
      <c r="AK19">
        <v>354.5</v>
      </c>
      <c r="AL19">
        <v>272.8</v>
      </c>
      <c r="AM19">
        <v>454</v>
      </c>
      <c r="AN19">
        <v>432.2</v>
      </c>
      <c r="AO19">
        <v>292.8</v>
      </c>
      <c r="AP19">
        <v>445.9</v>
      </c>
      <c r="AQ19">
        <v>539.7</v>
      </c>
      <c r="AR19">
        <v>675.6</v>
      </c>
    </row>
    <row r="20" spans="1:44" ht="12.75">
      <c r="A20" s="8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0.1</v>
      </c>
      <c r="Q20">
        <v>0.4</v>
      </c>
      <c r="R20">
        <v>0.24</v>
      </c>
      <c r="S20">
        <v>0.5</v>
      </c>
      <c r="T20">
        <v>0.5</v>
      </c>
      <c r="U20">
        <v>0.3</v>
      </c>
      <c r="V20">
        <v>0.1</v>
      </c>
      <c r="W20">
        <v>0.1</v>
      </c>
      <c r="X20">
        <v>0.1</v>
      </c>
      <c r="Y20">
        <v>0.2</v>
      </c>
      <c r="Z20">
        <v>0.4</v>
      </c>
      <c r="AA20">
        <v>0.7</v>
      </c>
      <c r="AB20">
        <v>0.8</v>
      </c>
      <c r="AC20">
        <v>0.6</v>
      </c>
      <c r="AD20">
        <v>0.8</v>
      </c>
      <c r="AE20">
        <v>0.8</v>
      </c>
      <c r="AF20">
        <v>0.8</v>
      </c>
      <c r="AG20">
        <v>2.5</v>
      </c>
      <c r="AH20">
        <v>2.9</v>
      </c>
      <c r="AI20">
        <v>5.5</v>
      </c>
      <c r="AJ20">
        <v>14.1</v>
      </c>
      <c r="AK20">
        <v>22.2</v>
      </c>
      <c r="AL20">
        <v>31</v>
      </c>
      <c r="AM20">
        <v>48.3</v>
      </c>
      <c r="AN20">
        <v>50.3</v>
      </c>
      <c r="AO20">
        <v>36.1</v>
      </c>
      <c r="AP20">
        <v>44.9</v>
      </c>
      <c r="AQ20">
        <v>85</v>
      </c>
      <c r="AR20">
        <v>124.1</v>
      </c>
    </row>
    <row r="21" spans="1:44" ht="12.75">
      <c r="A21" s="8" t="s">
        <v>20</v>
      </c>
      <c r="B21">
        <v>0</v>
      </c>
      <c r="C21">
        <v>2.482</v>
      </c>
      <c r="D21">
        <v>2.84</v>
      </c>
      <c r="E21">
        <v>1.157</v>
      </c>
      <c r="F21">
        <v>0</v>
      </c>
      <c r="G21">
        <v>0</v>
      </c>
      <c r="H21">
        <v>0</v>
      </c>
      <c r="I21">
        <v>0</v>
      </c>
      <c r="J21">
        <v>0</v>
      </c>
      <c r="K21">
        <v>0.4</v>
      </c>
      <c r="L21">
        <v>0.7</v>
      </c>
      <c r="M21">
        <v>0.4</v>
      </c>
      <c r="N21">
        <v>0.6</v>
      </c>
      <c r="O21">
        <v>0</v>
      </c>
      <c r="P21">
        <v>0</v>
      </c>
      <c r="Q21">
        <v>0</v>
      </c>
      <c r="R21">
        <v>0.502</v>
      </c>
      <c r="S21">
        <v>0.4</v>
      </c>
      <c r="T21">
        <v>0.6</v>
      </c>
      <c r="U21">
        <v>0.8</v>
      </c>
      <c r="V21">
        <v>0.7</v>
      </c>
      <c r="W21">
        <v>0.8</v>
      </c>
      <c r="X21">
        <v>1.2</v>
      </c>
      <c r="Y21">
        <v>6.6</v>
      </c>
      <c r="Z21">
        <v>4.9</v>
      </c>
      <c r="AA21">
        <v>8</v>
      </c>
      <c r="AB21">
        <v>5.8</v>
      </c>
      <c r="AC21">
        <v>3.5</v>
      </c>
      <c r="AD21">
        <v>6.1</v>
      </c>
      <c r="AE21">
        <v>6.8</v>
      </c>
      <c r="AF21">
        <v>8.5</v>
      </c>
      <c r="AG21">
        <v>11.1</v>
      </c>
      <c r="AH21">
        <v>16.9</v>
      </c>
      <c r="AI21">
        <v>27.8</v>
      </c>
      <c r="AJ21">
        <v>159.4</v>
      </c>
      <c r="AK21">
        <v>125.1</v>
      </c>
      <c r="AL21">
        <v>112.6</v>
      </c>
      <c r="AM21">
        <v>158.9</v>
      </c>
      <c r="AN21">
        <v>200.8</v>
      </c>
      <c r="AO21">
        <v>189.1</v>
      </c>
      <c r="AP21">
        <v>191.7</v>
      </c>
      <c r="AQ21">
        <v>252.4</v>
      </c>
      <c r="AR21">
        <v>268.8</v>
      </c>
    </row>
    <row r="22" spans="1:44" ht="12.75">
      <c r="A22" s="8" t="s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14.9</v>
      </c>
      <c r="AA22">
        <v>18.6</v>
      </c>
      <c r="AB22">
        <v>15.4</v>
      </c>
      <c r="AC22">
        <v>15.2</v>
      </c>
      <c r="AD22">
        <v>13.2</v>
      </c>
      <c r="AE22">
        <v>16.6</v>
      </c>
      <c r="AF22">
        <v>20.9</v>
      </c>
      <c r="AG22">
        <v>36.9</v>
      </c>
      <c r="AH22">
        <v>49.8</v>
      </c>
      <c r="AI22">
        <v>60.3</v>
      </c>
      <c r="AJ22">
        <v>96.2</v>
      </c>
      <c r="AK22">
        <v>2.6</v>
      </c>
      <c r="AL22">
        <v>0.3</v>
      </c>
      <c r="AM22">
        <v>1.1</v>
      </c>
      <c r="AN22">
        <v>55.1</v>
      </c>
      <c r="AO22">
        <v>51.9</v>
      </c>
      <c r="AP22">
        <v>124.5</v>
      </c>
      <c r="AQ22">
        <v>166.1</v>
      </c>
      <c r="AR22">
        <v>365.6</v>
      </c>
    </row>
    <row r="23" spans="1:44" ht="12.75">
      <c r="A23" s="8" t="s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0.1</v>
      </c>
      <c r="Z23">
        <v>11.7</v>
      </c>
      <c r="AA23">
        <v>16.7</v>
      </c>
      <c r="AB23">
        <v>16.9</v>
      </c>
      <c r="AC23">
        <v>18.9</v>
      </c>
      <c r="AD23">
        <v>17.6</v>
      </c>
      <c r="AE23">
        <v>25.4</v>
      </c>
      <c r="AF23">
        <v>32.1</v>
      </c>
      <c r="AG23">
        <v>57</v>
      </c>
      <c r="AH23">
        <v>82.2</v>
      </c>
      <c r="AI23">
        <v>122.9</v>
      </c>
      <c r="AJ23">
        <v>244.2</v>
      </c>
      <c r="AK23">
        <v>384.5</v>
      </c>
      <c r="AL23">
        <v>440.5</v>
      </c>
      <c r="AM23">
        <f>527.9+381.2</f>
        <v>909.0999999999999</v>
      </c>
      <c r="AN23">
        <f>443.7+424</f>
        <v>867.7</v>
      </c>
      <c r="AO23">
        <f>385.2+497</f>
        <v>882.2</v>
      </c>
      <c r="AP23">
        <f>488.6+775</f>
        <v>1263.6</v>
      </c>
      <c r="AQ23">
        <v>1524.7</v>
      </c>
      <c r="AR23">
        <v>2257.7</v>
      </c>
    </row>
    <row r="24" ht="12.75">
      <c r="A24" s="11"/>
    </row>
    <row r="25" spans="1:47" s="3" customFormat="1" ht="12.75">
      <c r="A25" s="7" t="s">
        <v>23</v>
      </c>
      <c r="B25" s="3">
        <f>SUM(B26:B36)</f>
        <v>10.519</v>
      </c>
      <c r="C25" s="3">
        <f aca="true" t="shared" si="4" ref="C25:R25">SUM(C26:C36)</f>
        <v>8.495999999999999</v>
      </c>
      <c r="D25" s="3">
        <f t="shared" si="4"/>
        <v>7.811</v>
      </c>
      <c r="E25" s="3">
        <f t="shared" si="4"/>
        <v>9.474</v>
      </c>
      <c r="F25" s="3">
        <f t="shared" si="4"/>
        <v>13.895</v>
      </c>
      <c r="G25" s="3">
        <f t="shared" si="4"/>
        <v>19.619999999999997</v>
      </c>
      <c r="H25" s="3">
        <f t="shared" si="4"/>
        <v>29.904</v>
      </c>
      <c r="I25" s="3">
        <f t="shared" si="4"/>
        <v>32.77</v>
      </c>
      <c r="J25" s="3">
        <f t="shared" si="4"/>
        <v>48.005</v>
      </c>
      <c r="K25" s="3">
        <f t="shared" si="4"/>
        <v>62.800000000000004</v>
      </c>
      <c r="L25" s="3">
        <f t="shared" si="4"/>
        <v>74.3</v>
      </c>
      <c r="M25" s="3">
        <f t="shared" si="4"/>
        <v>84.10000000000001</v>
      </c>
      <c r="N25" s="3">
        <f t="shared" si="4"/>
        <v>96.80000000000001</v>
      </c>
      <c r="O25" s="3">
        <f t="shared" si="4"/>
        <v>89.69999999999999</v>
      </c>
      <c r="P25" s="3">
        <f t="shared" si="4"/>
        <v>92.2</v>
      </c>
      <c r="Q25" s="3">
        <f t="shared" si="4"/>
        <v>214.1</v>
      </c>
      <c r="R25" s="3">
        <f t="shared" si="4"/>
        <v>339.4</v>
      </c>
      <c r="S25" s="3">
        <f aca="true" t="shared" si="5" ref="S25:AH25">SUM(S26:S36)</f>
        <v>898.725</v>
      </c>
      <c r="T25" s="3">
        <f t="shared" si="5"/>
        <v>668.8</v>
      </c>
      <c r="U25" s="3">
        <f t="shared" si="5"/>
        <v>512.4000000000001</v>
      </c>
      <c r="V25" s="3">
        <f t="shared" si="5"/>
        <v>361.1</v>
      </c>
      <c r="W25" s="3">
        <f t="shared" si="5"/>
        <v>322.2</v>
      </c>
      <c r="X25" s="3">
        <f t="shared" si="5"/>
        <v>374.50000000000006</v>
      </c>
      <c r="Y25" s="3">
        <f t="shared" si="5"/>
        <v>535.3</v>
      </c>
      <c r="Z25" s="3">
        <f t="shared" si="5"/>
        <v>716.1</v>
      </c>
      <c r="AA25" s="3">
        <f t="shared" si="5"/>
        <v>594.3000000000001</v>
      </c>
      <c r="AB25" s="3">
        <f t="shared" si="5"/>
        <v>497.1</v>
      </c>
      <c r="AC25" s="3">
        <f t="shared" si="5"/>
        <v>471</v>
      </c>
      <c r="AD25" s="3">
        <f t="shared" si="5"/>
        <v>438.40000000000003</v>
      </c>
      <c r="AE25" s="3">
        <f t="shared" si="5"/>
        <v>435.2000000000001</v>
      </c>
      <c r="AF25" s="3">
        <f t="shared" si="5"/>
        <v>562.8</v>
      </c>
      <c r="AG25" s="3">
        <f t="shared" si="5"/>
        <v>1042</v>
      </c>
      <c r="AH25" s="3">
        <f t="shared" si="5"/>
        <v>1532.4999999999998</v>
      </c>
      <c r="AI25" s="3">
        <f aca="true" t="shared" si="6" ref="AI25:AP25">SUM(AI26:AI36)</f>
        <v>1616.8999999999999</v>
      </c>
      <c r="AJ25" s="3">
        <f t="shared" si="6"/>
        <v>4458.6</v>
      </c>
      <c r="AK25" s="3">
        <f t="shared" si="6"/>
        <v>5959.7</v>
      </c>
      <c r="AL25" s="3">
        <f t="shared" si="6"/>
        <v>8275.3</v>
      </c>
      <c r="AM25" s="3">
        <f t="shared" si="6"/>
        <v>9703.9</v>
      </c>
      <c r="AN25" s="3">
        <f t="shared" si="6"/>
        <v>11030.5</v>
      </c>
      <c r="AO25" s="3">
        <f t="shared" si="6"/>
        <v>10732.3</v>
      </c>
      <c r="AP25" s="3">
        <f t="shared" si="6"/>
        <v>16416.899999999998</v>
      </c>
      <c r="AQ25" s="3">
        <f>SUM(AQ26:AQ37)</f>
        <v>11446.8</v>
      </c>
      <c r="AR25" s="3">
        <f>SUM(AR26:AR37)</f>
        <v>15940.599999999999</v>
      </c>
      <c r="AS25" s="3">
        <f>SUM(AS26:AS36)</f>
        <v>0</v>
      </c>
      <c r="AT25" s="3">
        <f>SUM(AT26:AT36)</f>
        <v>0</v>
      </c>
      <c r="AU25" s="3">
        <f>SUM(AU26:AU36)</f>
        <v>0</v>
      </c>
    </row>
    <row r="26" spans="1:48" ht="12.75">
      <c r="A26" s="8" t="s">
        <v>24</v>
      </c>
      <c r="B26" s="50">
        <v>4.377</v>
      </c>
      <c r="C26" s="50">
        <v>2.768</v>
      </c>
      <c r="D26" s="50">
        <v>2.304</v>
      </c>
      <c r="E26" s="50">
        <v>4.415</v>
      </c>
      <c r="F26" s="62">
        <v>2.7840000000000003</v>
      </c>
      <c r="G26" s="62">
        <v>5.843999999999999</v>
      </c>
      <c r="H26" s="62">
        <v>5.691000000000001</v>
      </c>
      <c r="I26" s="62">
        <v>4.718</v>
      </c>
      <c r="J26" s="62">
        <v>5.112000000000001</v>
      </c>
      <c r="K26">
        <v>7.3</v>
      </c>
      <c r="L26">
        <v>7</v>
      </c>
      <c r="M26">
        <v>8.4</v>
      </c>
      <c r="N26">
        <v>12.5</v>
      </c>
      <c r="O26">
        <v>12.3</v>
      </c>
      <c r="P26">
        <v>12.8</v>
      </c>
      <c r="Q26">
        <v>30.9</v>
      </c>
      <c r="R26">
        <v>36.2</v>
      </c>
      <c r="S26">
        <v>34.254</v>
      </c>
      <c r="T26">
        <v>42.1</v>
      </c>
      <c r="U26">
        <v>53.9</v>
      </c>
      <c r="V26">
        <v>55.9</v>
      </c>
      <c r="W26">
        <v>26.7</v>
      </c>
      <c r="X26">
        <v>35.3</v>
      </c>
      <c r="Y26">
        <v>48.7</v>
      </c>
      <c r="Z26">
        <v>74.8</v>
      </c>
      <c r="AA26">
        <v>77.8</v>
      </c>
      <c r="AB26">
        <v>53.4</v>
      </c>
      <c r="AC26">
        <v>66.6</v>
      </c>
      <c r="AD26">
        <v>66.4</v>
      </c>
      <c r="AE26">
        <v>76.2</v>
      </c>
      <c r="AF26">
        <v>105.4</v>
      </c>
      <c r="AG26">
        <v>166.4</v>
      </c>
      <c r="AH26">
        <v>199.6</v>
      </c>
      <c r="AI26">
        <v>233.1</v>
      </c>
      <c r="AJ26">
        <v>520</v>
      </c>
      <c r="AK26">
        <v>582.5</v>
      </c>
      <c r="AL26">
        <v>647.8</v>
      </c>
      <c r="AM26">
        <v>801</v>
      </c>
      <c r="AN26">
        <v>876.5</v>
      </c>
      <c r="AO26">
        <v>829.4</v>
      </c>
      <c r="AP26">
        <v>1183.9</v>
      </c>
      <c r="AQ26">
        <v>1809.4</v>
      </c>
      <c r="AR26">
        <v>1682.2</v>
      </c>
      <c r="AV26" s="50" t="s">
        <v>25</v>
      </c>
    </row>
    <row r="27" spans="1:44" ht="12.75">
      <c r="A27" s="8" t="s">
        <v>26</v>
      </c>
      <c r="B27" s="33" t="s">
        <v>4</v>
      </c>
      <c r="C27" s="33" t="s">
        <v>4</v>
      </c>
      <c r="D27" s="33" t="s">
        <v>4</v>
      </c>
      <c r="E27" s="33" t="s">
        <v>4</v>
      </c>
      <c r="F27" s="44">
        <v>3.887</v>
      </c>
      <c r="G27" s="44">
        <v>2.888</v>
      </c>
      <c r="H27" s="44">
        <v>3.494</v>
      </c>
      <c r="I27" s="44">
        <v>3.766</v>
      </c>
      <c r="J27" s="44">
        <v>5.611</v>
      </c>
      <c r="K27">
        <v>4.9</v>
      </c>
      <c r="L27">
        <v>6.7</v>
      </c>
      <c r="M27">
        <v>7.7</v>
      </c>
      <c r="N27">
        <v>10.5</v>
      </c>
      <c r="O27">
        <v>12.3</v>
      </c>
      <c r="P27">
        <v>11.9</v>
      </c>
      <c r="Q27">
        <v>25.5</v>
      </c>
      <c r="R27">
        <v>27.5</v>
      </c>
      <c r="S27">
        <v>33.277</v>
      </c>
      <c r="T27">
        <v>46</v>
      </c>
      <c r="U27">
        <v>42.5</v>
      </c>
      <c r="V27">
        <v>32.8</v>
      </c>
      <c r="W27">
        <v>38.9</v>
      </c>
      <c r="X27">
        <v>43.1</v>
      </c>
      <c r="Y27">
        <v>49.7</v>
      </c>
      <c r="Z27">
        <v>76.4</v>
      </c>
      <c r="AA27">
        <v>75.2</v>
      </c>
      <c r="AB27">
        <v>52.5</v>
      </c>
      <c r="AC27">
        <v>47.5</v>
      </c>
      <c r="AD27">
        <v>64.8</v>
      </c>
      <c r="AE27">
        <v>73.5</v>
      </c>
      <c r="AF27">
        <v>88.3</v>
      </c>
      <c r="AG27">
        <v>192.5</v>
      </c>
      <c r="AH27">
        <v>423.7</v>
      </c>
      <c r="AI27">
        <v>352.8</v>
      </c>
      <c r="AJ27">
        <v>863.9</v>
      </c>
      <c r="AK27">
        <v>944.8</v>
      </c>
      <c r="AL27">
        <v>1494.4</v>
      </c>
      <c r="AM27">
        <v>2019.3</v>
      </c>
      <c r="AN27">
        <v>1842.3</v>
      </c>
      <c r="AO27">
        <v>1427.6</v>
      </c>
      <c r="AP27">
        <v>2352.7</v>
      </c>
      <c r="AQ27">
        <v>3652.9</v>
      </c>
      <c r="AR27">
        <v>4579.4</v>
      </c>
    </row>
    <row r="28" spans="1:48" ht="12.75">
      <c r="A28" s="8" t="s">
        <v>27</v>
      </c>
      <c r="B28" s="33" t="s">
        <v>4</v>
      </c>
      <c r="C28" s="33" t="s">
        <v>4</v>
      </c>
      <c r="D28" s="33" t="s">
        <v>4</v>
      </c>
      <c r="E28" s="33" t="s">
        <v>4</v>
      </c>
      <c r="F28" s="45">
        <v>0.9</v>
      </c>
      <c r="G28" s="45">
        <v>2</v>
      </c>
      <c r="H28" s="45">
        <v>6.1</v>
      </c>
      <c r="I28" s="45">
        <v>7.1</v>
      </c>
      <c r="J28" s="47">
        <v>15.6</v>
      </c>
      <c r="K28">
        <v>6.3</v>
      </c>
      <c r="L28">
        <v>6.3</v>
      </c>
      <c r="M28">
        <v>6.1</v>
      </c>
      <c r="N28">
        <v>9.7</v>
      </c>
      <c r="O28">
        <v>8.9</v>
      </c>
      <c r="P28">
        <v>4.5</v>
      </c>
      <c r="Q28">
        <v>14.2</v>
      </c>
      <c r="R28">
        <v>37.8</v>
      </c>
      <c r="T28">
        <v>185.7</v>
      </c>
      <c r="U28">
        <v>121.2</v>
      </c>
      <c r="V28">
        <v>83.3</v>
      </c>
      <c r="W28">
        <v>66.7</v>
      </c>
      <c r="X28">
        <v>75.8</v>
      </c>
      <c r="Y28">
        <v>108.6</v>
      </c>
      <c r="Z28">
        <v>119.1</v>
      </c>
      <c r="AA28">
        <v>111.8</v>
      </c>
      <c r="AB28">
        <v>88.9</v>
      </c>
      <c r="AC28">
        <v>65.2</v>
      </c>
      <c r="AD28">
        <v>43.6</v>
      </c>
      <c r="AE28">
        <v>33</v>
      </c>
      <c r="AF28">
        <v>24.9</v>
      </c>
      <c r="AG28">
        <v>71.7</v>
      </c>
      <c r="AH28">
        <v>100.9</v>
      </c>
      <c r="AI28">
        <v>91.4</v>
      </c>
      <c r="AJ28">
        <v>391.2</v>
      </c>
      <c r="AK28">
        <v>448.4</v>
      </c>
      <c r="AL28">
        <v>1169</v>
      </c>
      <c r="AM28">
        <v>1042.8</v>
      </c>
      <c r="AN28">
        <v>1487.8</v>
      </c>
      <c r="AO28">
        <v>2453.4</v>
      </c>
      <c r="AP28">
        <v>2956.5</v>
      </c>
      <c r="AQ28">
        <v>455.5</v>
      </c>
      <c r="AR28">
        <v>1024.3</v>
      </c>
      <c r="AV28" s="48" t="s">
        <v>28</v>
      </c>
    </row>
    <row r="29" spans="1:50" ht="12.75">
      <c r="A29" s="8" t="s">
        <v>29</v>
      </c>
      <c r="B29" s="55">
        <v>1.458</v>
      </c>
      <c r="C29" s="55">
        <v>0.364</v>
      </c>
      <c r="D29" s="55">
        <v>0.277</v>
      </c>
      <c r="E29" s="55">
        <v>0.518</v>
      </c>
      <c r="F29" s="45">
        <v>0.624</v>
      </c>
      <c r="G29" s="45">
        <v>1.788</v>
      </c>
      <c r="H29" s="45">
        <v>3.419</v>
      </c>
      <c r="I29" s="46">
        <v>4.586</v>
      </c>
      <c r="J29" s="47">
        <v>6.582</v>
      </c>
      <c r="K29" s="45">
        <v>15.6</v>
      </c>
      <c r="L29" s="46">
        <v>23.1</v>
      </c>
      <c r="M29" s="46">
        <v>28.5</v>
      </c>
      <c r="N29" s="46">
        <v>24.1</v>
      </c>
      <c r="O29">
        <v>13</v>
      </c>
      <c r="P29">
        <v>18.8</v>
      </c>
      <c r="Q29">
        <v>63.8</v>
      </c>
      <c r="R29">
        <v>85</v>
      </c>
      <c r="S29" s="32">
        <f>69.374+750</f>
        <v>819.374</v>
      </c>
      <c r="T29">
        <v>116.2</v>
      </c>
      <c r="U29">
        <v>94</v>
      </c>
      <c r="V29">
        <v>71.9</v>
      </c>
      <c r="W29">
        <v>70.6</v>
      </c>
      <c r="X29">
        <v>77.2</v>
      </c>
      <c r="Y29">
        <v>118.6</v>
      </c>
      <c r="Z29">
        <v>159.7</v>
      </c>
      <c r="AA29">
        <v>106.1</v>
      </c>
      <c r="AB29">
        <v>89.7</v>
      </c>
      <c r="AC29">
        <v>94.7</v>
      </c>
      <c r="AD29">
        <v>121.7</v>
      </c>
      <c r="AE29">
        <v>98.4</v>
      </c>
      <c r="AF29">
        <v>137</v>
      </c>
      <c r="AG29">
        <v>214.6</v>
      </c>
      <c r="AH29">
        <v>216.2</v>
      </c>
      <c r="AI29">
        <v>215.4</v>
      </c>
      <c r="AJ29">
        <v>200</v>
      </c>
      <c r="AK29">
        <v>152.1</v>
      </c>
      <c r="AL29">
        <v>178.3</v>
      </c>
      <c r="AM29">
        <v>352.7</v>
      </c>
      <c r="AN29">
        <v>167.4</v>
      </c>
      <c r="AO29">
        <v>159.1</v>
      </c>
      <c r="AP29">
        <v>116.2</v>
      </c>
      <c r="AQ29">
        <v>251.4</v>
      </c>
      <c r="AR29">
        <v>419.7</v>
      </c>
      <c r="AV29" s="48" t="s">
        <v>30</v>
      </c>
      <c r="AX29" s="56" t="s">
        <v>31</v>
      </c>
    </row>
    <row r="30" spans="1:44" ht="12.75">
      <c r="A30" s="8" t="s">
        <v>32</v>
      </c>
      <c r="B30" s="33" t="s">
        <v>4</v>
      </c>
      <c r="C30" s="33" t="s">
        <v>4</v>
      </c>
      <c r="D30" s="33" t="s">
        <v>4</v>
      </c>
      <c r="E30" s="33" t="s">
        <v>4</v>
      </c>
      <c r="F30" s="33" t="s">
        <v>4</v>
      </c>
      <c r="G30" s="33" t="s">
        <v>4</v>
      </c>
      <c r="H30" s="33" t="s">
        <v>4</v>
      </c>
      <c r="I30" s="33" t="s">
        <v>4</v>
      </c>
      <c r="J30" s="33" t="s">
        <v>4</v>
      </c>
      <c r="K30" s="46">
        <v>14.3</v>
      </c>
      <c r="L30" s="46">
        <v>12.4</v>
      </c>
      <c r="M30" s="46">
        <v>10.5</v>
      </c>
      <c r="N30" s="46">
        <v>7.9</v>
      </c>
      <c r="O30">
        <v>9.3</v>
      </c>
      <c r="P30">
        <v>9.4</v>
      </c>
      <c r="Q30">
        <v>8.4</v>
      </c>
      <c r="R30">
        <v>42.5</v>
      </c>
      <c r="T30">
        <v>114.9</v>
      </c>
      <c r="U30">
        <v>0</v>
      </c>
      <c r="V30">
        <v>0</v>
      </c>
      <c r="W30">
        <v>0</v>
      </c>
      <c r="X30">
        <v>5.3</v>
      </c>
      <c r="Y30">
        <v>21.8</v>
      </c>
      <c r="Z30">
        <v>47.5</v>
      </c>
      <c r="AA30">
        <v>24.2</v>
      </c>
      <c r="AB30">
        <v>52</v>
      </c>
      <c r="AC30">
        <v>47.8</v>
      </c>
      <c r="AD30">
        <v>8.3</v>
      </c>
      <c r="AE30">
        <v>3.6</v>
      </c>
      <c r="AF30">
        <v>0</v>
      </c>
      <c r="AG30">
        <v>0</v>
      </c>
      <c r="AH30">
        <v>0.8</v>
      </c>
      <c r="AI30">
        <v>0</v>
      </c>
      <c r="AJ30">
        <v>926.7</v>
      </c>
      <c r="AK30">
        <v>1672.3</v>
      </c>
      <c r="AL30">
        <v>2164.3</v>
      </c>
      <c r="AM30">
        <v>1757.7</v>
      </c>
      <c r="AN30">
        <v>2771.1</v>
      </c>
      <c r="AO30">
        <v>2109.8</v>
      </c>
      <c r="AP30">
        <v>3780.6</v>
      </c>
      <c r="AQ30">
        <v>59.7</v>
      </c>
      <c r="AR30">
        <v>135</v>
      </c>
    </row>
    <row r="31" spans="1:44" ht="12.75">
      <c r="A31" s="8" t="s">
        <v>33</v>
      </c>
      <c r="B31" s="33" t="s">
        <v>4</v>
      </c>
      <c r="C31" s="33" t="s">
        <v>4</v>
      </c>
      <c r="D31" s="33" t="s">
        <v>4</v>
      </c>
      <c r="E31" s="33" t="s">
        <v>4</v>
      </c>
      <c r="F31" s="33" t="s">
        <v>4</v>
      </c>
      <c r="G31" s="33" t="s">
        <v>4</v>
      </c>
      <c r="H31" s="33" t="s">
        <v>4</v>
      </c>
      <c r="I31" s="33" t="s">
        <v>4</v>
      </c>
      <c r="J31" s="33" t="s">
        <v>4</v>
      </c>
      <c r="K31" s="33" t="s">
        <v>4</v>
      </c>
      <c r="L31" s="33" t="s">
        <v>4</v>
      </c>
      <c r="M31" s="33" t="s">
        <v>4</v>
      </c>
      <c r="N31" s="33" t="s">
        <v>4</v>
      </c>
      <c r="O31">
        <v>2.9</v>
      </c>
      <c r="P31">
        <v>3.2</v>
      </c>
      <c r="Q31">
        <v>2.6</v>
      </c>
      <c r="R31">
        <v>13</v>
      </c>
      <c r="T31">
        <v>22.4</v>
      </c>
      <c r="U31">
        <v>11.6</v>
      </c>
      <c r="V31">
        <v>11.3</v>
      </c>
      <c r="W31">
        <v>2.6</v>
      </c>
      <c r="X31">
        <v>2.6</v>
      </c>
      <c r="Y31">
        <v>31.2</v>
      </c>
      <c r="Z31">
        <v>41.5</v>
      </c>
      <c r="AA31">
        <v>32.3</v>
      </c>
      <c r="AB31">
        <v>18.8</v>
      </c>
      <c r="AC31">
        <v>24.1</v>
      </c>
      <c r="AD31">
        <v>0</v>
      </c>
      <c r="AE31">
        <v>0</v>
      </c>
      <c r="AF31">
        <v>0</v>
      </c>
      <c r="AG31">
        <v>0</v>
      </c>
      <c r="AH31">
        <v>2.5</v>
      </c>
      <c r="AI31">
        <v>0</v>
      </c>
      <c r="AJ31">
        <v>174.2</v>
      </c>
      <c r="AK31">
        <v>368.5</v>
      </c>
      <c r="AL31">
        <v>552.9</v>
      </c>
      <c r="AM31">
        <v>882.4</v>
      </c>
      <c r="AN31">
        <v>928.8</v>
      </c>
      <c r="AO31">
        <v>791.3</v>
      </c>
      <c r="AP31">
        <v>1778.2</v>
      </c>
      <c r="AQ31">
        <v>0</v>
      </c>
      <c r="AR31">
        <v>0</v>
      </c>
    </row>
    <row r="32" spans="1:44" ht="12.75">
      <c r="A32" s="8" t="s">
        <v>34</v>
      </c>
      <c r="B32" s="33" t="s">
        <v>4</v>
      </c>
      <c r="C32" s="33" t="s">
        <v>4</v>
      </c>
      <c r="D32" s="33" t="s">
        <v>4</v>
      </c>
      <c r="E32" s="33" t="s">
        <v>4</v>
      </c>
      <c r="F32" s="33" t="s">
        <v>4</v>
      </c>
      <c r="G32" s="33" t="s">
        <v>4</v>
      </c>
      <c r="H32" s="33" t="s">
        <v>4</v>
      </c>
      <c r="I32" s="33" t="s">
        <v>4</v>
      </c>
      <c r="J32" s="33" t="s">
        <v>4</v>
      </c>
      <c r="K32" s="33" t="s">
        <v>4</v>
      </c>
      <c r="L32" s="33" t="s">
        <v>4</v>
      </c>
      <c r="M32" s="33" t="s">
        <v>4</v>
      </c>
      <c r="N32" s="33" t="s">
        <v>4</v>
      </c>
      <c r="O32">
        <v>5.7</v>
      </c>
      <c r="P32">
        <v>6.5</v>
      </c>
      <c r="Q32">
        <v>15.2</v>
      </c>
      <c r="R32">
        <v>18.4</v>
      </c>
      <c r="S32">
        <v>11.82</v>
      </c>
      <c r="T32">
        <v>15</v>
      </c>
      <c r="U32">
        <v>20.9</v>
      </c>
      <c r="V32">
        <v>18.7</v>
      </c>
      <c r="W32">
        <v>20.7</v>
      </c>
      <c r="X32">
        <v>24.1</v>
      </c>
      <c r="Y32">
        <v>26.6</v>
      </c>
      <c r="Z32">
        <v>26.5</v>
      </c>
      <c r="AA32">
        <v>21.5</v>
      </c>
      <c r="AB32">
        <v>14.3</v>
      </c>
      <c r="AC32">
        <v>14.7</v>
      </c>
      <c r="AD32">
        <v>12</v>
      </c>
      <c r="AE32">
        <v>20.3</v>
      </c>
      <c r="AF32">
        <v>27.1</v>
      </c>
      <c r="AG32">
        <v>51.9</v>
      </c>
      <c r="AH32">
        <v>94.3</v>
      </c>
      <c r="AI32">
        <v>100.1</v>
      </c>
      <c r="AJ32">
        <v>118.9</v>
      </c>
      <c r="AK32">
        <v>141.4</v>
      </c>
      <c r="AL32">
        <v>156.2</v>
      </c>
      <c r="AM32">
        <v>160.6</v>
      </c>
      <c r="AN32">
        <v>171.7</v>
      </c>
      <c r="AO32">
        <v>144.3</v>
      </c>
      <c r="AP32">
        <v>178.9</v>
      </c>
      <c r="AQ32">
        <v>325.6</v>
      </c>
      <c r="AR32">
        <v>384.1</v>
      </c>
    </row>
    <row r="33" spans="1:44" ht="12.75">
      <c r="A33" s="8" t="s">
        <v>35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0.2</v>
      </c>
      <c r="P33">
        <v>0</v>
      </c>
      <c r="Q33">
        <v>0.1</v>
      </c>
      <c r="R33">
        <v>0.2</v>
      </c>
      <c r="T33">
        <v>0</v>
      </c>
      <c r="U33">
        <v>0</v>
      </c>
      <c r="V33">
        <v>0</v>
      </c>
      <c r="W33">
        <v>0</v>
      </c>
      <c r="X33">
        <v>2.1</v>
      </c>
      <c r="Y33">
        <v>1.8</v>
      </c>
      <c r="Z33">
        <v>6.4</v>
      </c>
      <c r="AA33">
        <v>0</v>
      </c>
      <c r="AB33">
        <v>5.7</v>
      </c>
      <c r="AC33">
        <v>4.8</v>
      </c>
      <c r="AD33">
        <v>4.5</v>
      </c>
      <c r="AE33">
        <v>5.1</v>
      </c>
      <c r="AF33">
        <v>6.7</v>
      </c>
      <c r="AG33">
        <v>8.3</v>
      </c>
      <c r="AH33">
        <v>10.7</v>
      </c>
      <c r="AI33">
        <v>24.1</v>
      </c>
      <c r="AJ33">
        <v>66.2</v>
      </c>
      <c r="AK33">
        <v>92.8</v>
      </c>
      <c r="AL33">
        <v>100.9</v>
      </c>
      <c r="AM33">
        <v>111.7</v>
      </c>
      <c r="AN33">
        <v>98.6</v>
      </c>
      <c r="AO33">
        <v>66</v>
      </c>
      <c r="AP33">
        <v>83.6</v>
      </c>
      <c r="AQ33">
        <v>160.7</v>
      </c>
      <c r="AR33">
        <v>265.7</v>
      </c>
    </row>
    <row r="34" spans="1:44" ht="12.75">
      <c r="A34" s="8" t="s">
        <v>36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12.7</v>
      </c>
      <c r="L34">
        <v>13.6</v>
      </c>
      <c r="M34">
        <v>13.5</v>
      </c>
      <c r="N34">
        <v>15.9</v>
      </c>
      <c r="O34">
        <v>16.8</v>
      </c>
      <c r="P34">
        <v>18</v>
      </c>
      <c r="Q34">
        <v>39.7</v>
      </c>
      <c r="R34">
        <v>61.1</v>
      </c>
      <c r="T34">
        <v>102</v>
      </c>
      <c r="U34">
        <v>154.1</v>
      </c>
      <c r="V34">
        <v>74.6</v>
      </c>
      <c r="W34">
        <v>83.3</v>
      </c>
      <c r="X34">
        <v>100.1</v>
      </c>
      <c r="Y34">
        <v>114.6</v>
      </c>
      <c r="Z34">
        <v>148.1</v>
      </c>
      <c r="AA34">
        <v>141.6</v>
      </c>
      <c r="AB34">
        <v>118.8</v>
      </c>
      <c r="AC34">
        <v>103.5</v>
      </c>
      <c r="AD34">
        <v>115.2</v>
      </c>
      <c r="AE34">
        <v>123.7</v>
      </c>
      <c r="AF34">
        <v>171.7</v>
      </c>
      <c r="AG34">
        <v>326.2</v>
      </c>
      <c r="AH34">
        <v>473.7</v>
      </c>
      <c r="AI34">
        <v>586.9</v>
      </c>
      <c r="AJ34">
        <v>1176.5</v>
      </c>
      <c r="AK34">
        <v>1483.3</v>
      </c>
      <c r="AL34">
        <v>1558</v>
      </c>
      <c r="AM34">
        <v>2277.6</v>
      </c>
      <c r="AN34">
        <v>2298.1</v>
      </c>
      <c r="AO34">
        <v>2189.6</v>
      </c>
      <c r="AP34">
        <v>2886.2</v>
      </c>
      <c r="AQ34">
        <v>3768.1</v>
      </c>
      <c r="AR34">
        <v>6093</v>
      </c>
    </row>
    <row r="35" spans="1:44" ht="12.75">
      <c r="A35" s="8" t="s">
        <v>37</v>
      </c>
      <c r="B35">
        <v>4.684</v>
      </c>
      <c r="C35">
        <v>5.364</v>
      </c>
      <c r="D35">
        <v>5.23</v>
      </c>
      <c r="E35">
        <v>4.541</v>
      </c>
      <c r="F35">
        <v>5.7</v>
      </c>
      <c r="G35">
        <v>7.1</v>
      </c>
      <c r="H35">
        <v>11.2</v>
      </c>
      <c r="I35">
        <v>12.6</v>
      </c>
      <c r="J35">
        <v>15.1</v>
      </c>
      <c r="K35">
        <v>1.4</v>
      </c>
      <c r="L35">
        <v>4.5</v>
      </c>
      <c r="M35">
        <v>8.7</v>
      </c>
      <c r="N35">
        <v>15</v>
      </c>
      <c r="O35">
        <v>7.5</v>
      </c>
      <c r="P35">
        <v>6.7</v>
      </c>
      <c r="Q35">
        <v>12.3</v>
      </c>
      <c r="R35">
        <v>15.2</v>
      </c>
      <c r="T35">
        <v>21.7</v>
      </c>
      <c r="U35">
        <v>12.8</v>
      </c>
      <c r="V35">
        <v>11</v>
      </c>
      <c r="W35">
        <v>11.7</v>
      </c>
      <c r="X35">
        <v>8.3</v>
      </c>
      <c r="Y35">
        <v>13.3</v>
      </c>
      <c r="Z35">
        <v>14.9</v>
      </c>
      <c r="AA35">
        <v>3.6</v>
      </c>
      <c r="AB35">
        <v>2.6</v>
      </c>
      <c r="AC35">
        <v>1.9</v>
      </c>
      <c r="AD35">
        <v>1.8</v>
      </c>
      <c r="AE35">
        <v>1.3</v>
      </c>
      <c r="AF35">
        <v>1.4</v>
      </c>
      <c r="AG35">
        <v>7</v>
      </c>
      <c r="AH35">
        <v>7.6</v>
      </c>
      <c r="AI35">
        <v>10.8</v>
      </c>
      <c r="AJ35">
        <v>18.4</v>
      </c>
      <c r="AK35">
        <v>63.3</v>
      </c>
      <c r="AL35">
        <v>238.7</v>
      </c>
      <c r="AM35">
        <v>284.7</v>
      </c>
      <c r="AN35">
        <v>376.4</v>
      </c>
      <c r="AO35">
        <v>541.8</v>
      </c>
      <c r="AP35">
        <v>1057</v>
      </c>
      <c r="AQ35">
        <v>51.6</v>
      </c>
      <c r="AR35">
        <v>64.8</v>
      </c>
    </row>
    <row r="36" spans="1:44" ht="12.75">
      <c r="A36" s="8" t="s">
        <v>38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0.3</v>
      </c>
      <c r="L36">
        <v>0.7</v>
      </c>
      <c r="M36">
        <v>0.7</v>
      </c>
      <c r="N36">
        <v>1.2</v>
      </c>
      <c r="O36">
        <v>0.8</v>
      </c>
      <c r="P36">
        <v>0.4</v>
      </c>
      <c r="Q36">
        <v>1.4</v>
      </c>
      <c r="R36">
        <v>2.5</v>
      </c>
      <c r="T36">
        <v>2.8</v>
      </c>
      <c r="U36">
        <v>1.4</v>
      </c>
      <c r="V36">
        <v>1.6</v>
      </c>
      <c r="W36">
        <v>1</v>
      </c>
      <c r="X36">
        <v>0.6</v>
      </c>
      <c r="Y36">
        <v>0.4</v>
      </c>
      <c r="Z36">
        <v>1.2</v>
      </c>
      <c r="AA36">
        <v>0.2</v>
      </c>
      <c r="AB36">
        <v>0.4</v>
      </c>
      <c r="AC36">
        <v>0.2</v>
      </c>
      <c r="AD36">
        <v>0.1</v>
      </c>
      <c r="AE36">
        <v>0.1</v>
      </c>
      <c r="AF36">
        <v>0.3</v>
      </c>
      <c r="AG36">
        <v>3.4</v>
      </c>
      <c r="AH36">
        <v>2.5</v>
      </c>
      <c r="AI36">
        <v>2.3</v>
      </c>
      <c r="AJ36">
        <v>2.6</v>
      </c>
      <c r="AK36">
        <v>10.3</v>
      </c>
      <c r="AL36">
        <v>14.8</v>
      </c>
      <c r="AM36">
        <v>13.4</v>
      </c>
      <c r="AN36">
        <v>11.8</v>
      </c>
      <c r="AO36">
        <v>20</v>
      </c>
      <c r="AP36">
        <v>43.1</v>
      </c>
      <c r="AQ36">
        <v>91.6</v>
      </c>
      <c r="AR36">
        <v>195.8</v>
      </c>
    </row>
    <row r="37" spans="1:44" ht="12.75">
      <c r="A37" s="11" t="s">
        <v>136</v>
      </c>
      <c r="AQ37">
        <v>820.3</v>
      </c>
      <c r="AR37">
        <v>1096.6</v>
      </c>
    </row>
    <row r="38" ht="12.75">
      <c r="A38" s="8"/>
    </row>
    <row r="39" spans="1:44" s="3" customFormat="1" ht="12.75">
      <c r="A39" s="7" t="s">
        <v>39</v>
      </c>
      <c r="B39" s="3">
        <v>-0.13</v>
      </c>
      <c r="C39" s="3">
        <v>0.045</v>
      </c>
      <c r="D39" s="3">
        <v>0.152</v>
      </c>
      <c r="E39" s="3">
        <f>-0.045+0.18</f>
        <v>0.135</v>
      </c>
      <c r="F39" s="3">
        <v>0.8</v>
      </c>
      <c r="G39" s="3">
        <v>0</v>
      </c>
      <c r="H39" s="3">
        <v>-0.2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4.5</v>
      </c>
      <c r="P39" s="3">
        <v>0</v>
      </c>
      <c r="Q39" s="3">
        <v>0</v>
      </c>
      <c r="R39" s="3">
        <v>0</v>
      </c>
      <c r="T39" s="3">
        <f>4.1+29.5</f>
        <v>33.6</v>
      </c>
      <c r="U39" s="3">
        <v>3</v>
      </c>
      <c r="V39" s="3">
        <v>5</v>
      </c>
      <c r="W39" s="3">
        <v>0.2</v>
      </c>
      <c r="X39" s="3">
        <v>30.4</v>
      </c>
      <c r="Y39" s="3">
        <v>88.6</v>
      </c>
      <c r="Z39" s="3">
        <v>100.5</v>
      </c>
      <c r="AA39" s="3">
        <v>53.7</v>
      </c>
      <c r="AB39" s="3">
        <v>50.1</v>
      </c>
      <c r="AC39" s="3">
        <v>114.2</v>
      </c>
      <c r="AD39" s="3">
        <v>74.8</v>
      </c>
      <c r="AE39" s="3">
        <v>104</v>
      </c>
      <c r="AF39" s="3">
        <v>30.4</v>
      </c>
      <c r="AG39" s="3">
        <v>4.6</v>
      </c>
      <c r="AH39" s="3">
        <v>30.2</v>
      </c>
      <c r="AI39" s="3">
        <v>31.9</v>
      </c>
      <c r="AJ39" s="3">
        <v>24.3</v>
      </c>
      <c r="AK39" s="3">
        <v>0</v>
      </c>
      <c r="AL39" s="3">
        <v>289</v>
      </c>
      <c r="AM39" s="3">
        <v>837.3</v>
      </c>
      <c r="AN39" s="3">
        <v>644</v>
      </c>
      <c r="AO39" s="3">
        <v>0</v>
      </c>
      <c r="AP39" s="3">
        <v>0</v>
      </c>
      <c r="AQ39" s="3">
        <v>90</v>
      </c>
      <c r="AR39" s="3">
        <v>7363.5</v>
      </c>
    </row>
    <row r="40" s="3" customFormat="1" ht="12.75">
      <c r="A40" s="7"/>
    </row>
    <row r="41" spans="1:44" s="3" customFormat="1" ht="12.75">
      <c r="A41" s="7" t="s">
        <v>40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3.7</v>
      </c>
      <c r="W41" s="3">
        <v>54.4</v>
      </c>
      <c r="X41" s="3">
        <v>70.2</v>
      </c>
      <c r="Y41" s="3">
        <v>83.9</v>
      </c>
      <c r="Z41" s="3">
        <v>95.8</v>
      </c>
      <c r="AA41" s="3">
        <v>22.2</v>
      </c>
      <c r="AB41" s="3">
        <v>41.1</v>
      </c>
      <c r="AC41" s="3">
        <v>12.2</v>
      </c>
      <c r="AD41" s="3">
        <v>13</v>
      </c>
      <c r="AE41" s="3">
        <v>13.5</v>
      </c>
      <c r="AF41" s="3">
        <v>15.2</v>
      </c>
      <c r="AG41" s="3">
        <v>19.6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</row>
    <row r="42" ht="12.75">
      <c r="A42" s="9"/>
    </row>
    <row r="43" spans="1:47" ht="12.75">
      <c r="A43" s="7" t="s">
        <v>41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1832.5</v>
      </c>
      <c r="AN43" s="3">
        <v>1409.8</v>
      </c>
      <c r="AO43" s="3">
        <v>0</v>
      </c>
      <c r="AP43" s="3">
        <v>82.1</v>
      </c>
      <c r="AQ43" s="3">
        <v>0</v>
      </c>
      <c r="AR43" s="3">
        <v>103.5</v>
      </c>
      <c r="AS43" s="3" t="s">
        <v>42</v>
      </c>
      <c r="AT43" s="3" t="s">
        <v>42</v>
      </c>
      <c r="AU43" s="3" t="s">
        <v>42</v>
      </c>
    </row>
    <row r="44" ht="12.75">
      <c r="A44" s="9"/>
    </row>
    <row r="45" spans="1:52" s="20" customFormat="1" ht="12.75">
      <c r="A45" s="13" t="s">
        <v>43</v>
      </c>
      <c r="B45" s="20">
        <f aca="true" t="shared" si="7" ref="B45:AN45">B3+B11+B25+B39+B41+B43+B9</f>
        <v>11.658999999999999</v>
      </c>
      <c r="C45" s="20">
        <f t="shared" si="7"/>
        <v>12.508</v>
      </c>
      <c r="D45" s="20">
        <f t="shared" si="7"/>
        <v>12.726999999999999</v>
      </c>
      <c r="E45" s="20">
        <f t="shared" si="7"/>
        <v>13.409</v>
      </c>
      <c r="F45" s="20">
        <f t="shared" si="7"/>
        <v>19.395</v>
      </c>
      <c r="G45" s="20">
        <f t="shared" si="7"/>
        <v>26.72</v>
      </c>
      <c r="H45" s="20">
        <f t="shared" si="7"/>
        <v>42.303999999999995</v>
      </c>
      <c r="I45" s="20">
        <f t="shared" si="7"/>
        <v>46.97</v>
      </c>
      <c r="J45" s="20">
        <f t="shared" si="7"/>
        <v>62.505</v>
      </c>
      <c r="K45" s="20">
        <f t="shared" si="7"/>
        <v>80.2</v>
      </c>
      <c r="L45" s="20">
        <f t="shared" si="7"/>
        <v>94.39999999999999</v>
      </c>
      <c r="M45" s="20">
        <f t="shared" si="7"/>
        <v>109.5</v>
      </c>
      <c r="N45" s="20">
        <f t="shared" si="7"/>
        <v>133.90000000000003</v>
      </c>
      <c r="O45" s="20">
        <f t="shared" si="7"/>
        <v>131.79999999999998</v>
      </c>
      <c r="P45" s="20">
        <f t="shared" si="7"/>
        <v>161.2</v>
      </c>
      <c r="Q45" s="20">
        <f t="shared" si="7"/>
        <v>348.70000000000005</v>
      </c>
      <c r="R45" s="20">
        <f t="shared" si="7"/>
        <v>521.912</v>
      </c>
      <c r="S45" s="20">
        <f t="shared" si="7"/>
        <v>1089.312</v>
      </c>
      <c r="T45" s="20">
        <f t="shared" si="7"/>
        <v>926.9999999999999</v>
      </c>
      <c r="U45" s="20">
        <f t="shared" si="7"/>
        <v>656.9000000000001</v>
      </c>
      <c r="V45" s="20">
        <f t="shared" si="7"/>
        <v>523.3000000000001</v>
      </c>
      <c r="W45" s="20">
        <f t="shared" si="7"/>
        <v>568.1</v>
      </c>
      <c r="X45" s="20">
        <f t="shared" si="7"/>
        <v>674.7</v>
      </c>
      <c r="Y45" s="20">
        <f t="shared" si="7"/>
        <v>914.8</v>
      </c>
      <c r="Z45" s="20">
        <f t="shared" si="7"/>
        <v>1148.6</v>
      </c>
      <c r="AA45" s="20">
        <f t="shared" si="7"/>
        <v>877.9000000000001</v>
      </c>
      <c r="AB45" s="20">
        <f t="shared" si="7"/>
        <v>765.1000000000001</v>
      </c>
      <c r="AC45" s="20">
        <f t="shared" si="7"/>
        <v>746.5000000000001</v>
      </c>
      <c r="AD45" s="20">
        <f t="shared" si="7"/>
        <v>729.2</v>
      </c>
      <c r="AE45" s="20">
        <f t="shared" si="7"/>
        <v>816.4000000000001</v>
      </c>
      <c r="AF45" s="20">
        <f t="shared" si="7"/>
        <v>931.5</v>
      </c>
      <c r="AG45" s="20">
        <f t="shared" si="7"/>
        <v>1766.2999999999997</v>
      </c>
      <c r="AH45" s="20">
        <f t="shared" si="7"/>
        <v>2526.9999999999995</v>
      </c>
      <c r="AI45" s="20">
        <f t="shared" si="7"/>
        <v>2948.7999999999997</v>
      </c>
      <c r="AJ45" s="20">
        <f t="shared" si="7"/>
        <v>7232.2</v>
      </c>
      <c r="AK45" s="20">
        <f t="shared" si="7"/>
        <v>9071.3</v>
      </c>
      <c r="AL45" s="20">
        <f t="shared" si="7"/>
        <v>12882.8</v>
      </c>
      <c r="AM45" s="20">
        <f t="shared" si="7"/>
        <v>19211.9</v>
      </c>
      <c r="AN45" s="20">
        <f t="shared" si="7"/>
        <v>20471.1</v>
      </c>
      <c r="AO45" s="20">
        <f aca="true" t="shared" si="8" ref="AO45:AU45">AO3+AO11+AO25+AO39+AO41+AO43+AO9</f>
        <v>17424.7</v>
      </c>
      <c r="AP45" s="20">
        <f t="shared" si="8"/>
        <v>25023.599999999995</v>
      </c>
      <c r="AQ45" s="20">
        <f t="shared" si="8"/>
        <v>23559.8</v>
      </c>
      <c r="AR45" s="20">
        <f t="shared" si="8"/>
        <v>36616.899999999994</v>
      </c>
      <c r="AS45" s="20" t="e">
        <f t="shared" si="8"/>
        <v>#VALUE!</v>
      </c>
      <c r="AT45" s="20" t="e">
        <f t="shared" si="8"/>
        <v>#VALUE!</v>
      </c>
      <c r="AU45" s="20" t="e">
        <f t="shared" si="8"/>
        <v>#VALUE!</v>
      </c>
      <c r="AW45" s="3"/>
      <c r="AX45" s="3"/>
      <c r="AY45" s="3"/>
      <c r="AZ45" s="3"/>
    </row>
    <row r="46" spans="1:52" s="20" customFormat="1" ht="12.75">
      <c r="A46" s="13"/>
      <c r="AW46" s="3"/>
      <c r="AX46" s="3"/>
      <c r="AY46" s="3"/>
      <c r="AZ46" s="3"/>
    </row>
    <row r="47" spans="1:47" s="1" customFormat="1" ht="12.75">
      <c r="A47" s="5" t="s">
        <v>44</v>
      </c>
      <c r="B47" s="1">
        <f>B45-B120</f>
        <v>0</v>
      </c>
      <c r="C47" s="1">
        <f aca="true" t="shared" si="9" ref="C47:R47">C45-C120</f>
        <v>0</v>
      </c>
      <c r="D47" s="1">
        <f t="shared" si="9"/>
        <v>0</v>
      </c>
      <c r="E47" s="1">
        <f t="shared" si="9"/>
        <v>0</v>
      </c>
      <c r="F47" s="34">
        <f t="shared" si="9"/>
        <v>0.7949999999999982</v>
      </c>
      <c r="G47" s="34">
        <f t="shared" si="9"/>
        <v>0.019999999999999574</v>
      </c>
      <c r="H47" s="34">
        <f t="shared" si="9"/>
        <v>5.303999999999995</v>
      </c>
      <c r="I47" s="34">
        <f t="shared" si="9"/>
        <v>9.07</v>
      </c>
      <c r="J47" s="34">
        <f t="shared" si="9"/>
        <v>-0.394999999999996</v>
      </c>
      <c r="K47" s="34">
        <f t="shared" si="9"/>
        <v>0.20000000000000284</v>
      </c>
      <c r="L47" s="34">
        <f t="shared" si="9"/>
        <v>0.19999999999998863</v>
      </c>
      <c r="M47" s="34">
        <f t="shared" si="9"/>
        <v>-0.5</v>
      </c>
      <c r="N47" s="34">
        <f t="shared" si="9"/>
        <v>17.900000000000034</v>
      </c>
      <c r="O47" s="1">
        <f t="shared" si="9"/>
        <v>0</v>
      </c>
      <c r="P47" s="1">
        <f t="shared" si="9"/>
        <v>0</v>
      </c>
      <c r="Q47" s="1">
        <f t="shared" si="9"/>
        <v>0</v>
      </c>
      <c r="R47" s="34">
        <f t="shared" si="9"/>
        <v>-4.88799999999992</v>
      </c>
      <c r="S47" s="34">
        <f aca="true" t="shared" si="10" ref="S47:AH47">S45-S120</f>
        <v>497.7119999999999</v>
      </c>
      <c r="T47" s="34">
        <f t="shared" si="10"/>
        <v>0.1999999999999318</v>
      </c>
      <c r="U47" s="34">
        <f t="shared" si="10"/>
        <v>-0.1999999999999318</v>
      </c>
      <c r="V47" s="34">
        <f t="shared" si="10"/>
        <v>-109.79999999999995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0"/>
        <v>0</v>
      </c>
      <c r="AG47" s="1">
        <f t="shared" si="10"/>
        <v>0</v>
      </c>
      <c r="AH47" s="1">
        <f t="shared" si="10"/>
        <v>0</v>
      </c>
      <c r="AI47" s="1">
        <f aca="true" t="shared" si="11" ref="AI47:AQ47">AI45-AI120</f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1"/>
        <v>0</v>
      </c>
      <c r="AO47" s="1">
        <f t="shared" si="11"/>
        <v>0</v>
      </c>
      <c r="AP47" s="1">
        <f t="shared" si="11"/>
        <v>0</v>
      </c>
      <c r="AQ47" s="1">
        <f t="shared" si="11"/>
        <v>0</v>
      </c>
      <c r="AR47" s="1">
        <f>AR45-AR120</f>
        <v>12529.299999999996</v>
      </c>
      <c r="AS47" s="1" t="e">
        <f>AS45-AS120</f>
        <v>#VALUE!</v>
      </c>
      <c r="AT47" s="1" t="e">
        <f>AT45-AT120</f>
        <v>#VALUE!</v>
      </c>
      <c r="AU47" s="1" t="e">
        <f>AU45-AU120</f>
        <v>#VALUE!</v>
      </c>
    </row>
    <row r="48" spans="1:21" s="19" customFormat="1" ht="12.75">
      <c r="A48" s="17" t="s">
        <v>45</v>
      </c>
      <c r="B48" s="19" t="s">
        <v>46</v>
      </c>
      <c r="C48" s="19" t="s">
        <v>46</v>
      </c>
      <c r="D48" s="19" t="s">
        <v>46</v>
      </c>
      <c r="E48" s="19" t="s">
        <v>46</v>
      </c>
      <c r="F48" s="18" t="s">
        <v>47</v>
      </c>
      <c r="G48" s="18" t="s">
        <v>47</v>
      </c>
      <c r="H48" s="18" t="s">
        <v>47</v>
      </c>
      <c r="I48" s="18" t="s">
        <v>47</v>
      </c>
      <c r="J48" s="18" t="s">
        <v>47</v>
      </c>
      <c r="K48" s="19" t="s">
        <v>48</v>
      </c>
      <c r="L48" s="19" t="s">
        <v>48</v>
      </c>
      <c r="M48" s="19" t="s">
        <v>48</v>
      </c>
      <c r="N48" s="19" t="s">
        <v>48</v>
      </c>
      <c r="O48" s="18" t="s">
        <v>49</v>
      </c>
      <c r="P48" s="18" t="s">
        <v>49</v>
      </c>
      <c r="Q48" s="18" t="s">
        <v>49</v>
      </c>
      <c r="R48" s="18" t="s">
        <v>50</v>
      </c>
      <c r="S48" s="18" t="s">
        <v>51</v>
      </c>
      <c r="T48" s="19" t="s">
        <v>52</v>
      </c>
      <c r="U48" s="19" t="s">
        <v>52</v>
      </c>
    </row>
    <row r="50" ht="21" customHeight="1">
      <c r="A50" s="64" t="s">
        <v>53</v>
      </c>
    </row>
    <row r="51" spans="1:47" s="2" customFormat="1" ht="12.75">
      <c r="A51" s="10" t="s">
        <v>54</v>
      </c>
      <c r="B51" s="2">
        <f>B52+B53+B54</f>
        <v>0</v>
      </c>
      <c r="C51" s="2">
        <f aca="true" t="shared" si="12" ref="C51:R51">C52+C53+C54</f>
        <v>0</v>
      </c>
      <c r="D51" s="2">
        <f t="shared" si="12"/>
        <v>0</v>
      </c>
      <c r="E51" s="2">
        <f t="shared" si="12"/>
        <v>0</v>
      </c>
      <c r="F51" s="2">
        <f t="shared" si="12"/>
        <v>0</v>
      </c>
      <c r="G51" s="2">
        <f t="shared" si="12"/>
        <v>0</v>
      </c>
      <c r="H51" s="2">
        <f t="shared" si="12"/>
        <v>0</v>
      </c>
      <c r="I51" s="2">
        <f t="shared" si="12"/>
        <v>0</v>
      </c>
      <c r="J51" s="2">
        <f t="shared" si="12"/>
        <v>0</v>
      </c>
      <c r="K51" s="2">
        <f t="shared" si="12"/>
        <v>8.854</v>
      </c>
      <c r="L51" s="2">
        <f t="shared" si="12"/>
        <v>10.488</v>
      </c>
      <c r="M51" s="2">
        <f t="shared" si="12"/>
        <v>14</v>
      </c>
      <c r="N51" s="2">
        <f t="shared" si="12"/>
        <v>15.2</v>
      </c>
      <c r="O51" s="2">
        <f t="shared" si="12"/>
        <v>20.5</v>
      </c>
      <c r="P51" s="2">
        <f t="shared" si="12"/>
        <v>28.8</v>
      </c>
      <c r="Q51" s="2">
        <f t="shared" si="12"/>
        <v>44.900000000000006</v>
      </c>
      <c r="R51" s="2">
        <f t="shared" si="12"/>
        <v>113.30000000000001</v>
      </c>
      <c r="S51" s="2">
        <f aca="true" t="shared" si="13" ref="S51:AH51">S52+S53+S54</f>
        <v>128.9</v>
      </c>
      <c r="T51" s="2">
        <f t="shared" si="13"/>
        <v>160.2</v>
      </c>
      <c r="U51" s="2">
        <f t="shared" si="13"/>
        <v>200.1</v>
      </c>
      <c r="V51" s="2">
        <f t="shared" si="13"/>
        <v>143</v>
      </c>
      <c r="W51" s="2">
        <f t="shared" si="13"/>
        <v>46</v>
      </c>
      <c r="X51" s="2">
        <f t="shared" si="13"/>
        <v>227.6</v>
      </c>
      <c r="Y51" s="2">
        <f t="shared" si="13"/>
        <v>173.9</v>
      </c>
      <c r="Z51" s="2">
        <f t="shared" si="13"/>
        <v>208.3</v>
      </c>
      <c r="AA51" s="2">
        <f t="shared" si="13"/>
        <v>257.7</v>
      </c>
      <c r="AB51" s="2">
        <f t="shared" si="13"/>
        <v>357.7</v>
      </c>
      <c r="AC51" s="2">
        <f t="shared" si="13"/>
        <v>373.5</v>
      </c>
      <c r="AD51" s="2">
        <f t="shared" si="13"/>
        <v>374.4</v>
      </c>
      <c r="AE51" s="2">
        <f t="shared" si="13"/>
        <v>392.5</v>
      </c>
      <c r="AF51" s="2">
        <f t="shared" si="13"/>
        <v>340.1</v>
      </c>
      <c r="AG51" s="2">
        <f t="shared" si="13"/>
        <v>495.6</v>
      </c>
      <c r="AH51" s="2">
        <f t="shared" si="13"/>
        <v>774.6</v>
      </c>
      <c r="AI51" s="2">
        <f aca="true" t="shared" si="14" ref="AI51:AQ51">AI52+AI53+AI54</f>
        <v>1297.3</v>
      </c>
      <c r="AJ51" s="2">
        <f t="shared" si="14"/>
        <v>1601</v>
      </c>
      <c r="AK51" s="2">
        <f t="shared" si="14"/>
        <v>2398.3</v>
      </c>
      <c r="AL51" s="2">
        <f t="shared" si="14"/>
        <v>3296.2</v>
      </c>
      <c r="AM51" s="2">
        <f t="shared" si="14"/>
        <v>5378.3</v>
      </c>
      <c r="AN51" s="2">
        <f t="shared" si="14"/>
        <v>6857.799999999999</v>
      </c>
      <c r="AO51" s="2">
        <f t="shared" si="14"/>
        <v>7923.6</v>
      </c>
      <c r="AP51" s="2">
        <f t="shared" si="14"/>
        <v>10048.400000000001</v>
      </c>
      <c r="AQ51" s="2">
        <f t="shared" si="14"/>
        <v>11295.5</v>
      </c>
      <c r="AR51" s="2">
        <f>AR52+AR53+AR54</f>
        <v>12371.9</v>
      </c>
      <c r="AS51" s="2">
        <f>AS52+AS53+AS54</f>
        <v>0</v>
      </c>
      <c r="AT51" s="2">
        <f>AT52+AT53+AT54</f>
        <v>0</v>
      </c>
      <c r="AU51" s="2">
        <f>AU52+AU53+AU54</f>
        <v>0</v>
      </c>
    </row>
    <row r="52" spans="1:44" ht="12.75">
      <c r="A52" s="8" t="s">
        <v>55</v>
      </c>
      <c r="K52">
        <v>6.043</v>
      </c>
      <c r="L52">
        <v>6.639</v>
      </c>
      <c r="M52">
        <v>7.9</v>
      </c>
      <c r="N52">
        <v>8.7</v>
      </c>
      <c r="O52">
        <v>11.4</v>
      </c>
      <c r="P52">
        <v>17.1</v>
      </c>
      <c r="Q52">
        <v>28.8</v>
      </c>
      <c r="R52">
        <v>93.2</v>
      </c>
      <c r="S52">
        <v>99.4</v>
      </c>
      <c r="T52">
        <v>107</v>
      </c>
      <c r="U52">
        <v>145.2</v>
      </c>
      <c r="V52">
        <v>101.3</v>
      </c>
      <c r="W52">
        <v>10.7</v>
      </c>
      <c r="X52">
        <v>184.6</v>
      </c>
      <c r="Y52">
        <v>114</v>
      </c>
      <c r="Z52">
        <v>123.2</v>
      </c>
      <c r="AA52">
        <v>112</v>
      </c>
      <c r="AB52">
        <v>162.1</v>
      </c>
      <c r="AC52">
        <v>186.4</v>
      </c>
      <c r="AD52">
        <v>179.3</v>
      </c>
      <c r="AE52">
        <v>191.5</v>
      </c>
      <c r="AF52">
        <v>119.4</v>
      </c>
      <c r="AG52">
        <v>149</v>
      </c>
      <c r="AH52">
        <v>222.3</v>
      </c>
      <c r="AI52">
        <v>441.5</v>
      </c>
      <c r="AJ52">
        <v>450.9</v>
      </c>
      <c r="AK52">
        <v>801.2</v>
      </c>
      <c r="AL52">
        <v>1045.4</v>
      </c>
      <c r="AM52">
        <v>2304.9</v>
      </c>
      <c r="AN52">
        <v>3167.2</v>
      </c>
      <c r="AO52">
        <v>3829.5</v>
      </c>
      <c r="AP52">
        <v>4929.3</v>
      </c>
      <c r="AQ52">
        <v>4899.2</v>
      </c>
      <c r="AR52">
        <v>4467.9</v>
      </c>
    </row>
    <row r="53" spans="1:44" ht="12.75">
      <c r="A53" s="8" t="s">
        <v>56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13.2</v>
      </c>
      <c r="AB53">
        <v>28.4</v>
      </c>
      <c r="AC53">
        <v>18.9</v>
      </c>
      <c r="AD53">
        <v>10.9</v>
      </c>
      <c r="AE53">
        <v>6.5</v>
      </c>
      <c r="AF53">
        <v>7.3</v>
      </c>
      <c r="AG53">
        <v>13.3</v>
      </c>
      <c r="AH53">
        <v>22.3</v>
      </c>
      <c r="AI53">
        <v>22.7</v>
      </c>
      <c r="AJ53">
        <v>19.4</v>
      </c>
      <c r="AK53">
        <v>27.3</v>
      </c>
      <c r="AL53">
        <v>20.2</v>
      </c>
      <c r="AM53">
        <v>23.4</v>
      </c>
      <c r="AN53">
        <v>29.5</v>
      </c>
      <c r="AO53">
        <v>0</v>
      </c>
      <c r="AP53">
        <v>14.6</v>
      </c>
      <c r="AQ53">
        <v>0</v>
      </c>
      <c r="AR53">
        <v>0</v>
      </c>
    </row>
    <row r="54" spans="1:44" ht="12.75">
      <c r="A54" s="8" t="s">
        <v>57</v>
      </c>
      <c r="K54">
        <v>2.811</v>
      </c>
      <c r="L54">
        <v>3.849</v>
      </c>
      <c r="M54">
        <v>6.1</v>
      </c>
      <c r="N54">
        <v>6.5</v>
      </c>
      <c r="O54">
        <v>9.1</v>
      </c>
      <c r="P54">
        <v>11.7</v>
      </c>
      <c r="Q54">
        <v>16.1</v>
      </c>
      <c r="R54">
        <v>20.1</v>
      </c>
      <c r="S54">
        <v>29.5</v>
      </c>
      <c r="T54">
        <v>53.2</v>
      </c>
      <c r="U54">
        <v>54.9</v>
      </c>
      <c r="V54">
        <v>41.7</v>
      </c>
      <c r="W54">
        <v>35.3</v>
      </c>
      <c r="X54">
        <v>43</v>
      </c>
      <c r="Y54">
        <v>59.9</v>
      </c>
      <c r="Z54">
        <v>85.1</v>
      </c>
      <c r="AA54">
        <v>132.5</v>
      </c>
      <c r="AB54">
        <v>167.2</v>
      </c>
      <c r="AC54">
        <v>168.2</v>
      </c>
      <c r="AD54">
        <v>184.2</v>
      </c>
      <c r="AE54">
        <v>194.5</v>
      </c>
      <c r="AF54">
        <v>213.4</v>
      </c>
      <c r="AG54">
        <v>333.3</v>
      </c>
      <c r="AH54">
        <v>530</v>
      </c>
      <c r="AI54">
        <v>833.1</v>
      </c>
      <c r="AJ54">
        <v>1130.7</v>
      </c>
      <c r="AK54">
        <v>1569.8</v>
      </c>
      <c r="AL54">
        <v>2230.6</v>
      </c>
      <c r="AM54">
        <v>3050</v>
      </c>
      <c r="AN54">
        <v>3661.1</v>
      </c>
      <c r="AO54">
        <v>4094.1</v>
      </c>
      <c r="AP54">
        <v>5104.5</v>
      </c>
      <c r="AQ54">
        <v>6396.3</v>
      </c>
      <c r="AR54">
        <v>7904</v>
      </c>
    </row>
    <row r="56" spans="1:47" s="2" customFormat="1" ht="12.75">
      <c r="A56" s="10" t="s">
        <v>58</v>
      </c>
      <c r="B56" s="2">
        <f>B57+B58+B59+B60</f>
        <v>0</v>
      </c>
      <c r="C56" s="2">
        <f aca="true" t="shared" si="15" ref="C56:R56">C57+C58+C59+C60</f>
        <v>0</v>
      </c>
      <c r="D56" s="2">
        <f t="shared" si="15"/>
        <v>0</v>
      </c>
      <c r="E56" s="2">
        <f t="shared" si="15"/>
        <v>0</v>
      </c>
      <c r="F56" s="2">
        <f t="shared" si="15"/>
        <v>0</v>
      </c>
      <c r="G56" s="2">
        <f t="shared" si="15"/>
        <v>0</v>
      </c>
      <c r="H56" s="2">
        <f t="shared" si="15"/>
        <v>0</v>
      </c>
      <c r="I56" s="2">
        <f t="shared" si="15"/>
        <v>0</v>
      </c>
      <c r="J56" s="2">
        <f t="shared" si="15"/>
        <v>0</v>
      </c>
      <c r="K56" s="2">
        <f t="shared" si="15"/>
        <v>6.6530000000000005</v>
      </c>
      <c r="L56" s="2">
        <f t="shared" si="15"/>
        <v>8.204</v>
      </c>
      <c r="M56" s="2">
        <f t="shared" si="15"/>
        <v>12.1</v>
      </c>
      <c r="N56" s="2">
        <f t="shared" si="15"/>
        <v>11.899999999999999</v>
      </c>
      <c r="O56" s="2">
        <f t="shared" si="15"/>
        <v>14.600000000000001</v>
      </c>
      <c r="P56" s="2">
        <f t="shared" si="15"/>
        <v>18.599999999999998</v>
      </c>
      <c r="Q56" s="2">
        <f t="shared" si="15"/>
        <v>20.4</v>
      </c>
      <c r="R56" s="2">
        <f t="shared" si="15"/>
        <v>30.2</v>
      </c>
      <c r="S56" s="2">
        <f aca="true" t="shared" si="16" ref="S56:AH56">S57+S58+S59+S60</f>
        <v>47.9</v>
      </c>
      <c r="T56" s="2">
        <f t="shared" si="16"/>
        <v>57.50000000000001</v>
      </c>
      <c r="U56" s="2">
        <f t="shared" si="16"/>
        <v>58.4</v>
      </c>
      <c r="V56" s="2">
        <f t="shared" si="16"/>
        <v>72.30000000000001</v>
      </c>
      <c r="W56" s="2">
        <f t="shared" si="16"/>
        <v>65.9</v>
      </c>
      <c r="X56" s="2">
        <f t="shared" si="16"/>
        <v>78.29999999999998</v>
      </c>
      <c r="Y56" s="2">
        <f t="shared" si="16"/>
        <v>96.8</v>
      </c>
      <c r="Z56" s="2">
        <f t="shared" si="16"/>
        <v>90.4</v>
      </c>
      <c r="AA56" s="2">
        <f t="shared" si="16"/>
        <v>105.9</v>
      </c>
      <c r="AB56" s="2">
        <f t="shared" si="16"/>
        <v>136.20000000000002</v>
      </c>
      <c r="AC56" s="2">
        <f t="shared" si="16"/>
        <v>163.5</v>
      </c>
      <c r="AD56" s="2">
        <f t="shared" si="16"/>
        <v>166.39999999999998</v>
      </c>
      <c r="AE56" s="2">
        <f t="shared" si="16"/>
        <v>171.7</v>
      </c>
      <c r="AF56" s="2">
        <f t="shared" si="16"/>
        <v>223.3</v>
      </c>
      <c r="AG56" s="2">
        <f t="shared" si="16"/>
        <v>309.2</v>
      </c>
      <c r="AH56" s="2">
        <f t="shared" si="16"/>
        <v>482.8</v>
      </c>
      <c r="AI56" s="2">
        <f aca="true" t="shared" si="17" ref="AI56:AQ56">AI57+AI58+AI59+AI60</f>
        <v>546.6999999999999</v>
      </c>
      <c r="AJ56" s="2">
        <f t="shared" si="17"/>
        <v>766.0000000000001</v>
      </c>
      <c r="AK56" s="2">
        <f t="shared" si="17"/>
        <v>1124.8999999999999</v>
      </c>
      <c r="AL56" s="2">
        <f t="shared" si="17"/>
        <v>1869.2000000000003</v>
      </c>
      <c r="AM56" s="2">
        <f t="shared" si="17"/>
        <v>2993.6999999999994</v>
      </c>
      <c r="AN56" s="2">
        <f t="shared" si="17"/>
        <v>3484.6</v>
      </c>
      <c r="AO56" s="2">
        <f t="shared" si="17"/>
        <v>3897.1</v>
      </c>
      <c r="AP56" s="2">
        <f t="shared" si="17"/>
        <v>5383.099999999999</v>
      </c>
      <c r="AQ56" s="2">
        <f t="shared" si="17"/>
        <v>6833.999999999999</v>
      </c>
      <c r="AR56" s="2">
        <f>AR57+AR58+AR59+AR60</f>
        <v>8703.7</v>
      </c>
      <c r="AS56" s="2">
        <f>AS57+AS58+AS59+AS60</f>
        <v>0</v>
      </c>
      <c r="AT56" s="2">
        <f>AT57+AT58+AT59+AT60</f>
        <v>0</v>
      </c>
      <c r="AU56" s="2">
        <f>AU57+AU58+AU59+AU60</f>
        <v>0</v>
      </c>
    </row>
    <row r="57" spans="1:44" ht="12.75">
      <c r="A57" s="8" t="s">
        <v>59</v>
      </c>
      <c r="K57">
        <v>3.724</v>
      </c>
      <c r="L57">
        <v>4.776</v>
      </c>
      <c r="M57">
        <v>5.8</v>
      </c>
      <c r="N57">
        <v>7.1</v>
      </c>
      <c r="O57">
        <v>8.8</v>
      </c>
      <c r="P57">
        <v>10.8</v>
      </c>
      <c r="Q57">
        <v>10.2</v>
      </c>
      <c r="R57">
        <v>15.3</v>
      </c>
      <c r="S57">
        <v>26.2</v>
      </c>
      <c r="T57">
        <v>39.7</v>
      </c>
      <c r="U57">
        <v>44.3</v>
      </c>
      <c r="V57">
        <v>60</v>
      </c>
      <c r="W57">
        <v>51.6</v>
      </c>
      <c r="X57">
        <v>55.7</v>
      </c>
      <c r="Y57">
        <v>65.1</v>
      </c>
      <c r="Z57">
        <v>58.7</v>
      </c>
      <c r="AA57">
        <v>72.9</v>
      </c>
      <c r="AB57">
        <v>86.6</v>
      </c>
      <c r="AC57">
        <v>93.1</v>
      </c>
      <c r="AD57">
        <v>70.8</v>
      </c>
      <c r="AE57">
        <v>69.7</v>
      </c>
      <c r="AF57">
        <v>88.8</v>
      </c>
      <c r="AG57">
        <v>126.8</v>
      </c>
      <c r="AH57">
        <v>229.5</v>
      </c>
      <c r="AI57">
        <v>211.8</v>
      </c>
      <c r="AJ57">
        <v>338.5</v>
      </c>
      <c r="AK57">
        <v>480.1</v>
      </c>
      <c r="AL57">
        <v>902.1</v>
      </c>
      <c r="AM57">
        <v>1586.1</v>
      </c>
      <c r="AN57">
        <v>1616.2</v>
      </c>
      <c r="AO57">
        <v>1698.5</v>
      </c>
      <c r="AP57">
        <v>2469.2</v>
      </c>
      <c r="AQ57">
        <v>3413.5</v>
      </c>
      <c r="AR57">
        <v>4625.1</v>
      </c>
    </row>
    <row r="58" spans="1:44" ht="12.75">
      <c r="A58" s="8" t="s">
        <v>60</v>
      </c>
      <c r="K58">
        <v>1.506</v>
      </c>
      <c r="L58">
        <v>1.942</v>
      </c>
      <c r="M58">
        <v>2.6</v>
      </c>
      <c r="N58">
        <v>3.3</v>
      </c>
      <c r="O58">
        <v>3.9</v>
      </c>
      <c r="P58">
        <v>5.1</v>
      </c>
      <c r="Q58">
        <v>6.6</v>
      </c>
      <c r="R58">
        <v>9.6</v>
      </c>
      <c r="S58">
        <v>14.2</v>
      </c>
      <c r="T58">
        <v>11.2</v>
      </c>
      <c r="U58">
        <v>8.7</v>
      </c>
      <c r="V58">
        <v>7.9</v>
      </c>
      <c r="W58">
        <v>9</v>
      </c>
      <c r="X58">
        <v>16.9</v>
      </c>
      <c r="Y58">
        <v>21.5</v>
      </c>
      <c r="Z58">
        <v>22.1</v>
      </c>
      <c r="AA58">
        <v>24.4</v>
      </c>
      <c r="AB58">
        <v>36.2</v>
      </c>
      <c r="AC58">
        <v>54.9</v>
      </c>
      <c r="AD58">
        <v>79.9</v>
      </c>
      <c r="AE58">
        <v>86.5</v>
      </c>
      <c r="AF58">
        <v>113.5</v>
      </c>
      <c r="AG58">
        <v>154.7</v>
      </c>
      <c r="AH58">
        <v>219.3</v>
      </c>
      <c r="AI58">
        <v>293.5</v>
      </c>
      <c r="AJ58">
        <v>371.7</v>
      </c>
      <c r="AK58">
        <v>560.4</v>
      </c>
      <c r="AL58">
        <v>845.3</v>
      </c>
      <c r="AM58">
        <v>1203.8</v>
      </c>
      <c r="AN58">
        <v>1588.3</v>
      </c>
      <c r="AO58">
        <v>1803.1</v>
      </c>
      <c r="AP58">
        <v>2424.2</v>
      </c>
      <c r="AQ58">
        <v>2926.9</v>
      </c>
      <c r="AR58">
        <v>3402</v>
      </c>
    </row>
    <row r="59" spans="1:44" ht="12.75">
      <c r="A59" s="8" t="s">
        <v>61</v>
      </c>
      <c r="K59">
        <v>1.423</v>
      </c>
      <c r="L59">
        <v>1.486</v>
      </c>
      <c r="M59">
        <v>2.3</v>
      </c>
      <c r="N59">
        <v>1.1</v>
      </c>
      <c r="O59">
        <v>1.4</v>
      </c>
      <c r="P59">
        <v>2</v>
      </c>
      <c r="Q59">
        <v>2.5</v>
      </c>
      <c r="R59">
        <v>4.2</v>
      </c>
      <c r="S59">
        <v>6</v>
      </c>
      <c r="T59">
        <v>5.7</v>
      </c>
      <c r="U59">
        <v>4.9</v>
      </c>
      <c r="V59">
        <v>4</v>
      </c>
      <c r="W59">
        <v>4.9</v>
      </c>
      <c r="X59">
        <v>5.1</v>
      </c>
      <c r="Y59">
        <v>9.4</v>
      </c>
      <c r="Z59">
        <v>8.3</v>
      </c>
      <c r="AA59">
        <v>7.8</v>
      </c>
      <c r="AB59">
        <v>11</v>
      </c>
      <c r="AC59">
        <v>14.5</v>
      </c>
      <c r="AD59">
        <v>14.1</v>
      </c>
      <c r="AE59">
        <v>14.5</v>
      </c>
      <c r="AF59">
        <v>20</v>
      </c>
      <c r="AG59">
        <v>27.2</v>
      </c>
      <c r="AH59">
        <v>32.6</v>
      </c>
      <c r="AI59">
        <v>40.5</v>
      </c>
      <c r="AJ59">
        <v>54.6</v>
      </c>
      <c r="AK59">
        <v>81.8</v>
      </c>
      <c r="AL59">
        <v>118.9</v>
      </c>
      <c r="AM59">
        <v>197.1</v>
      </c>
      <c r="AN59">
        <v>272.1</v>
      </c>
      <c r="AO59">
        <v>352.6</v>
      </c>
      <c r="AP59">
        <v>398.3</v>
      </c>
      <c r="AQ59">
        <v>409.2</v>
      </c>
      <c r="AR59">
        <v>547.5</v>
      </c>
    </row>
    <row r="60" spans="1:44" ht="12.75">
      <c r="A60" s="8" t="s">
        <v>62</v>
      </c>
      <c r="M60">
        <v>1.4</v>
      </c>
      <c r="N60">
        <v>0.4</v>
      </c>
      <c r="O60">
        <v>0.5</v>
      </c>
      <c r="P60">
        <v>0.7</v>
      </c>
      <c r="Q60">
        <v>1.1</v>
      </c>
      <c r="R60">
        <v>1.1</v>
      </c>
      <c r="S60">
        <v>1.5</v>
      </c>
      <c r="T60">
        <v>0.9</v>
      </c>
      <c r="U60">
        <v>0.5</v>
      </c>
      <c r="V60">
        <v>0.4</v>
      </c>
      <c r="W60">
        <v>0.4</v>
      </c>
      <c r="X60">
        <v>0.6</v>
      </c>
      <c r="Y60">
        <v>0.8</v>
      </c>
      <c r="Z60">
        <v>1.3</v>
      </c>
      <c r="AA60">
        <v>0.8</v>
      </c>
      <c r="AB60">
        <v>2.4</v>
      </c>
      <c r="AC60">
        <v>1</v>
      </c>
      <c r="AD60">
        <v>1.6</v>
      </c>
      <c r="AE60">
        <v>1</v>
      </c>
      <c r="AF60">
        <v>1</v>
      </c>
      <c r="AG60">
        <v>0.5</v>
      </c>
      <c r="AH60">
        <v>1.4</v>
      </c>
      <c r="AI60">
        <v>0.9</v>
      </c>
      <c r="AJ60">
        <v>1.2</v>
      </c>
      <c r="AK60">
        <v>2.6</v>
      </c>
      <c r="AL60">
        <v>2.9</v>
      </c>
      <c r="AM60">
        <v>6.7</v>
      </c>
      <c r="AN60">
        <v>8</v>
      </c>
      <c r="AO60">
        <v>42.9</v>
      </c>
      <c r="AP60">
        <v>91.4</v>
      </c>
      <c r="AQ60">
        <v>84.4</v>
      </c>
      <c r="AR60">
        <v>129.1</v>
      </c>
    </row>
    <row r="62" spans="1:47" s="2" customFormat="1" ht="12.75">
      <c r="A62" s="10" t="s">
        <v>63</v>
      </c>
      <c r="B62" s="2">
        <f aca="true" t="shared" si="18" ref="B62:AS62">B63+B64+B67+B65+B66</f>
        <v>0</v>
      </c>
      <c r="C62" s="2">
        <f t="shared" si="18"/>
        <v>0</v>
      </c>
      <c r="D62" s="2">
        <f t="shared" si="18"/>
        <v>0</v>
      </c>
      <c r="E62" s="2">
        <f t="shared" si="18"/>
        <v>0</v>
      </c>
      <c r="F62" s="2">
        <f t="shared" si="18"/>
        <v>0</v>
      </c>
      <c r="G62" s="2">
        <f t="shared" si="18"/>
        <v>0</v>
      </c>
      <c r="H62" s="2">
        <f t="shared" si="18"/>
        <v>0</v>
      </c>
      <c r="I62" s="2">
        <f t="shared" si="18"/>
        <v>0</v>
      </c>
      <c r="J62" s="2">
        <f t="shared" si="18"/>
        <v>0</v>
      </c>
      <c r="K62" s="2">
        <f t="shared" si="18"/>
        <v>2.025</v>
      </c>
      <c r="L62" s="2">
        <f t="shared" si="18"/>
        <v>2.4370000000000003</v>
      </c>
      <c r="M62" s="2">
        <f t="shared" si="18"/>
        <v>0</v>
      </c>
      <c r="N62" s="2">
        <f t="shared" si="18"/>
        <v>3.1</v>
      </c>
      <c r="O62" s="2">
        <f t="shared" si="18"/>
        <v>4.1</v>
      </c>
      <c r="P62" s="2">
        <f t="shared" si="18"/>
        <v>5.5</v>
      </c>
      <c r="Q62" s="2">
        <f t="shared" si="18"/>
        <v>6.8999999999999995</v>
      </c>
      <c r="R62" s="2">
        <f t="shared" si="18"/>
        <v>8.4</v>
      </c>
      <c r="S62" s="2">
        <f t="shared" si="18"/>
        <v>11</v>
      </c>
      <c r="T62" s="2">
        <f t="shared" si="18"/>
        <v>12.600000000000001</v>
      </c>
      <c r="U62" s="2">
        <f t="shared" si="18"/>
        <v>11</v>
      </c>
      <c r="V62" s="2">
        <f t="shared" si="18"/>
        <v>12.8</v>
      </c>
      <c r="W62" s="2">
        <f t="shared" si="18"/>
        <v>17.3</v>
      </c>
      <c r="X62" s="2">
        <f t="shared" si="18"/>
        <v>16</v>
      </c>
      <c r="Y62" s="2">
        <f t="shared" si="18"/>
        <v>24.799999999999997</v>
      </c>
      <c r="Z62" s="2">
        <f t="shared" si="18"/>
        <v>33.3</v>
      </c>
      <c r="AA62" s="2">
        <f t="shared" si="18"/>
        <v>41.1</v>
      </c>
      <c r="AB62" s="2">
        <f t="shared" si="18"/>
        <v>35.7</v>
      </c>
      <c r="AC62" s="2">
        <f t="shared" si="18"/>
        <v>42.8</v>
      </c>
      <c r="AD62" s="2">
        <f t="shared" si="18"/>
        <v>71.5</v>
      </c>
      <c r="AE62" s="2">
        <f t="shared" si="18"/>
        <v>81.8</v>
      </c>
      <c r="AF62" s="2">
        <f t="shared" si="18"/>
        <v>96.3</v>
      </c>
      <c r="AG62" s="2">
        <f t="shared" si="18"/>
        <v>118.80000000000001</v>
      </c>
      <c r="AH62" s="2">
        <f t="shared" si="18"/>
        <v>138.6</v>
      </c>
      <c r="AI62" s="2">
        <f t="shared" si="18"/>
        <v>147.3</v>
      </c>
      <c r="AJ62" s="2">
        <f t="shared" si="18"/>
        <v>248.7</v>
      </c>
      <c r="AK62" s="2">
        <f t="shared" si="18"/>
        <v>331</v>
      </c>
      <c r="AL62" s="2">
        <f t="shared" si="18"/>
        <v>483.4</v>
      </c>
      <c r="AM62" s="2">
        <f t="shared" si="18"/>
        <v>598.6</v>
      </c>
      <c r="AN62" s="2">
        <f t="shared" si="18"/>
        <v>710.5999999999999</v>
      </c>
      <c r="AO62" s="2">
        <f t="shared" si="18"/>
        <v>855.5999999999999</v>
      </c>
      <c r="AP62" s="2">
        <f t="shared" si="18"/>
        <v>1152.5</v>
      </c>
      <c r="AQ62" s="2">
        <f t="shared" si="18"/>
        <v>1455.2</v>
      </c>
      <c r="AR62" s="2">
        <f t="shared" si="18"/>
        <v>1910.6999999999998</v>
      </c>
      <c r="AS62" s="2">
        <f t="shared" si="18"/>
        <v>0</v>
      </c>
      <c r="AT62" s="2">
        <f>AT63+AT64+AT67+AT65+AT66</f>
        <v>0</v>
      </c>
      <c r="AU62" s="2">
        <f>AU63+AU64+AU67+AU65+AU66</f>
        <v>0</v>
      </c>
    </row>
    <row r="63" spans="1:44" ht="12.75">
      <c r="A63" s="8" t="s">
        <v>64</v>
      </c>
      <c r="N63">
        <v>2.1</v>
      </c>
      <c r="O63">
        <v>2.7</v>
      </c>
      <c r="P63">
        <v>3.7</v>
      </c>
      <c r="Q63">
        <v>5.1</v>
      </c>
      <c r="R63">
        <v>6.3</v>
      </c>
      <c r="S63">
        <v>8</v>
      </c>
      <c r="T63">
        <v>9.4</v>
      </c>
      <c r="U63">
        <v>8.9</v>
      </c>
      <c r="V63">
        <v>11</v>
      </c>
      <c r="W63">
        <v>14.8</v>
      </c>
      <c r="X63">
        <v>12.8</v>
      </c>
      <c r="Y63">
        <v>19.9</v>
      </c>
      <c r="Z63">
        <v>27.3</v>
      </c>
      <c r="AA63">
        <v>34.1</v>
      </c>
      <c r="AB63">
        <v>26.9</v>
      </c>
      <c r="AC63">
        <v>32.3</v>
      </c>
      <c r="AD63">
        <v>58</v>
      </c>
      <c r="AE63">
        <v>66.3</v>
      </c>
      <c r="AF63">
        <v>65.3</v>
      </c>
      <c r="AG63">
        <v>81.9</v>
      </c>
      <c r="AH63">
        <v>95</v>
      </c>
      <c r="AI63">
        <v>100.8</v>
      </c>
      <c r="AJ63">
        <v>111.5</v>
      </c>
      <c r="AK63">
        <v>168.2</v>
      </c>
      <c r="AL63">
        <v>244.8</v>
      </c>
      <c r="AM63">
        <v>305.6</v>
      </c>
      <c r="AN63">
        <v>352.5</v>
      </c>
      <c r="AO63">
        <v>440.6</v>
      </c>
      <c r="AP63">
        <v>575.2</v>
      </c>
      <c r="AQ63">
        <v>699.6</v>
      </c>
      <c r="AR63">
        <v>874.5</v>
      </c>
    </row>
    <row r="64" spans="1:42" ht="12.75">
      <c r="A64" s="8" t="s">
        <v>65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10.2</v>
      </c>
      <c r="AG64">
        <v>12</v>
      </c>
      <c r="AH64">
        <v>13.7</v>
      </c>
      <c r="AI64">
        <v>11.9</v>
      </c>
      <c r="AJ64">
        <v>11.6</v>
      </c>
      <c r="AK64">
        <v>11.9</v>
      </c>
      <c r="AL64">
        <v>10.1</v>
      </c>
      <c r="AM64">
        <v>3.5</v>
      </c>
      <c r="AN64">
        <v>3.4</v>
      </c>
      <c r="AO64">
        <v>1.4</v>
      </c>
      <c r="AP64">
        <v>1.1</v>
      </c>
    </row>
    <row r="65" spans="1:44" ht="12.75">
      <c r="A65" s="11" t="s">
        <v>137</v>
      </c>
      <c r="AM65">
        <v>88</v>
      </c>
      <c r="AN65">
        <v>108.9</v>
      </c>
      <c r="AO65">
        <v>130.7</v>
      </c>
      <c r="AP65">
        <v>169.7</v>
      </c>
      <c r="AQ65">
        <v>186.5</v>
      </c>
      <c r="AR65">
        <v>216.5</v>
      </c>
    </row>
    <row r="66" spans="1:44" ht="12.75">
      <c r="A66" s="11" t="s">
        <v>138</v>
      </c>
      <c r="AM66">
        <v>185.1</v>
      </c>
      <c r="AN66">
        <v>226.9</v>
      </c>
      <c r="AO66">
        <v>258</v>
      </c>
      <c r="AP66">
        <v>364.6</v>
      </c>
      <c r="AQ66">
        <v>529.5</v>
      </c>
      <c r="AR66">
        <v>766.9</v>
      </c>
    </row>
    <row r="67" spans="1:44" ht="12.75">
      <c r="A67" s="8" t="s">
        <v>62</v>
      </c>
      <c r="K67">
        <f>0.956+1.069</f>
        <v>2.025</v>
      </c>
      <c r="L67">
        <f>1.012+1.425</f>
        <v>2.4370000000000003</v>
      </c>
      <c r="N67">
        <v>1</v>
      </c>
      <c r="O67">
        <v>1.4</v>
      </c>
      <c r="P67">
        <v>1.8</v>
      </c>
      <c r="Q67">
        <v>1.8</v>
      </c>
      <c r="R67">
        <v>2.1</v>
      </c>
      <c r="S67">
        <v>3</v>
      </c>
      <c r="T67">
        <v>3.2</v>
      </c>
      <c r="U67">
        <v>2.1</v>
      </c>
      <c r="V67">
        <v>1.8</v>
      </c>
      <c r="W67">
        <v>2.5</v>
      </c>
      <c r="X67">
        <v>3.2</v>
      </c>
      <c r="Y67">
        <v>4.9</v>
      </c>
      <c r="Z67">
        <v>6</v>
      </c>
      <c r="AA67">
        <v>7</v>
      </c>
      <c r="AB67">
        <v>8.8</v>
      </c>
      <c r="AC67">
        <v>10.5</v>
      </c>
      <c r="AD67">
        <v>13.5</v>
      </c>
      <c r="AE67">
        <v>15.5</v>
      </c>
      <c r="AF67">
        <v>20.8</v>
      </c>
      <c r="AG67">
        <v>24.9</v>
      </c>
      <c r="AH67">
        <v>29.9</v>
      </c>
      <c r="AI67">
        <v>34.6</v>
      </c>
      <c r="AJ67">
        <v>125.6</v>
      </c>
      <c r="AK67">
        <v>150.9</v>
      </c>
      <c r="AL67">
        <v>228.5</v>
      </c>
      <c r="AM67">
        <v>16.4</v>
      </c>
      <c r="AN67">
        <v>18.9</v>
      </c>
      <c r="AO67">
        <v>24.9</v>
      </c>
      <c r="AP67">
        <v>41.9</v>
      </c>
      <c r="AQ67">
        <v>39.6</v>
      </c>
      <c r="AR67">
        <v>52.8</v>
      </c>
    </row>
    <row r="68" ht="12.75">
      <c r="A68" s="8"/>
    </row>
    <row r="69" spans="1:48" s="30" customFormat="1" ht="15">
      <c r="A69" s="31" t="s">
        <v>66</v>
      </c>
      <c r="B69" s="42">
        <v>3.7</v>
      </c>
      <c r="C69" s="42">
        <v>4.4</v>
      </c>
      <c r="D69" s="42">
        <v>4.5</v>
      </c>
      <c r="E69" s="42">
        <v>4.7</v>
      </c>
      <c r="F69" s="42">
        <v>5.9</v>
      </c>
      <c r="G69" s="42">
        <v>5.4</v>
      </c>
      <c r="H69" s="42">
        <v>8.3</v>
      </c>
      <c r="I69" s="42">
        <v>9.2</v>
      </c>
      <c r="J69" s="42">
        <v>14</v>
      </c>
      <c r="K69" s="30">
        <f aca="true" t="shared" si="19" ref="K69:Q69">K51+K56+K62</f>
        <v>17.532</v>
      </c>
      <c r="L69" s="30">
        <f t="shared" si="19"/>
        <v>21.129</v>
      </c>
      <c r="M69" s="30">
        <f t="shared" si="19"/>
        <v>26.1</v>
      </c>
      <c r="N69" s="30">
        <f t="shared" si="19"/>
        <v>30.2</v>
      </c>
      <c r="O69" s="30">
        <f t="shared" si="19"/>
        <v>39.2</v>
      </c>
      <c r="P69" s="30">
        <f t="shared" si="19"/>
        <v>52.9</v>
      </c>
      <c r="Q69" s="30">
        <f t="shared" si="19"/>
        <v>72.20000000000002</v>
      </c>
      <c r="R69" s="30">
        <f aca="true" t="shared" si="20" ref="R69:AG69">R51+R56+R62</f>
        <v>151.9</v>
      </c>
      <c r="S69" s="30">
        <f t="shared" si="20"/>
        <v>187.8</v>
      </c>
      <c r="T69" s="30">
        <f t="shared" si="20"/>
        <v>230.29999999999998</v>
      </c>
      <c r="U69" s="30">
        <f t="shared" si="20"/>
        <v>269.5</v>
      </c>
      <c r="V69" s="30">
        <f t="shared" si="20"/>
        <v>228.10000000000002</v>
      </c>
      <c r="W69" s="30">
        <f t="shared" si="20"/>
        <v>129.20000000000002</v>
      </c>
      <c r="X69" s="30">
        <f t="shared" si="20"/>
        <v>321.9</v>
      </c>
      <c r="Y69" s="30">
        <f t="shared" si="20"/>
        <v>295.5</v>
      </c>
      <c r="Z69" s="30">
        <f t="shared" si="20"/>
        <v>332.00000000000006</v>
      </c>
      <c r="AA69" s="30">
        <f t="shared" si="20"/>
        <v>404.70000000000005</v>
      </c>
      <c r="AB69" s="30">
        <f t="shared" si="20"/>
        <v>529.6</v>
      </c>
      <c r="AC69" s="30">
        <f t="shared" si="20"/>
        <v>579.8</v>
      </c>
      <c r="AD69" s="30">
        <f t="shared" si="20"/>
        <v>612.3</v>
      </c>
      <c r="AE69" s="30">
        <f t="shared" si="20"/>
        <v>646</v>
      </c>
      <c r="AF69" s="30">
        <f t="shared" si="20"/>
        <v>659.7</v>
      </c>
      <c r="AG69" s="30">
        <f t="shared" si="20"/>
        <v>923.5999999999999</v>
      </c>
      <c r="AH69" s="30">
        <f aca="true" t="shared" si="21" ref="AH69:AS69">AH51+AH56+AH62</f>
        <v>1396</v>
      </c>
      <c r="AI69" s="30">
        <f t="shared" si="21"/>
        <v>1991.3</v>
      </c>
      <c r="AJ69" s="30">
        <f t="shared" si="21"/>
        <v>2615.7</v>
      </c>
      <c r="AK69" s="30">
        <f t="shared" si="21"/>
        <v>3854.2</v>
      </c>
      <c r="AL69" s="30">
        <f t="shared" si="21"/>
        <v>5648.799999999999</v>
      </c>
      <c r="AM69" s="30">
        <f t="shared" si="21"/>
        <v>8970.6</v>
      </c>
      <c r="AN69" s="30">
        <f t="shared" si="21"/>
        <v>11053</v>
      </c>
      <c r="AO69" s="30">
        <f t="shared" si="21"/>
        <v>12676.300000000001</v>
      </c>
      <c r="AP69" s="30">
        <f t="shared" si="21"/>
        <v>16584</v>
      </c>
      <c r="AQ69" s="30">
        <f t="shared" si="21"/>
        <v>19584.7</v>
      </c>
      <c r="AR69" s="30">
        <f t="shared" si="21"/>
        <v>22986.3</v>
      </c>
      <c r="AS69" s="30">
        <f t="shared" si="21"/>
        <v>0</v>
      </c>
      <c r="AT69" s="30">
        <f>AT51+AT56+AT62</f>
        <v>0</v>
      </c>
      <c r="AU69" s="30">
        <f>AU51+AU56+AU62</f>
        <v>0</v>
      </c>
      <c r="AV69" s="49" t="s">
        <v>10</v>
      </c>
    </row>
    <row r="70" s="1" customFormat="1" ht="12.75">
      <c r="A70" s="5"/>
    </row>
    <row r="71" spans="1:47" s="2" customFormat="1" ht="12.75">
      <c r="A71" s="10" t="s">
        <v>67</v>
      </c>
      <c r="B71" s="2">
        <f>SUM(B72:B78)</f>
        <v>9.5</v>
      </c>
      <c r="C71" s="2">
        <f aca="true" t="shared" si="22" ref="C71:AS71">SUM(C72:C78)</f>
        <v>10.4</v>
      </c>
      <c r="D71" s="2">
        <f t="shared" si="22"/>
        <v>9.3</v>
      </c>
      <c r="E71" s="2">
        <f t="shared" si="22"/>
        <v>8.7</v>
      </c>
      <c r="F71" s="2">
        <f t="shared" si="22"/>
        <v>10.1</v>
      </c>
      <c r="G71" s="2">
        <f t="shared" si="22"/>
        <v>11.2</v>
      </c>
      <c r="H71" s="2">
        <f t="shared" si="22"/>
        <v>13</v>
      </c>
      <c r="I71" s="2">
        <f t="shared" si="22"/>
        <v>16.2</v>
      </c>
      <c r="J71" s="2">
        <f t="shared" si="22"/>
        <v>17.7</v>
      </c>
      <c r="K71" s="2">
        <f t="shared" si="22"/>
        <v>21.6</v>
      </c>
      <c r="L71" s="2">
        <f t="shared" si="22"/>
        <v>23.2</v>
      </c>
      <c r="M71" s="2">
        <f t="shared" si="22"/>
        <v>30.7</v>
      </c>
      <c r="N71" s="2">
        <f t="shared" si="22"/>
        <v>37.3</v>
      </c>
      <c r="O71" s="2">
        <f t="shared" si="22"/>
        <v>45.7</v>
      </c>
      <c r="P71" s="2">
        <f t="shared" si="22"/>
        <v>60.699999999999996</v>
      </c>
      <c r="Q71" s="2">
        <f t="shared" si="22"/>
        <v>63.6</v>
      </c>
      <c r="R71" s="2">
        <f t="shared" si="22"/>
        <v>92.6</v>
      </c>
      <c r="S71" s="2">
        <f t="shared" si="22"/>
        <v>122.59999999999998</v>
      </c>
      <c r="T71" s="2">
        <f t="shared" si="22"/>
        <v>169.2</v>
      </c>
      <c r="U71" s="2">
        <f t="shared" si="22"/>
        <v>143.7</v>
      </c>
      <c r="V71" s="2">
        <f t="shared" si="22"/>
        <v>100.89999999999999</v>
      </c>
      <c r="W71" s="2">
        <f t="shared" si="22"/>
        <v>161.29999999999998</v>
      </c>
      <c r="X71" s="2">
        <f t="shared" si="22"/>
        <v>169.7</v>
      </c>
      <c r="Y71" s="2">
        <f t="shared" si="22"/>
        <v>217.5</v>
      </c>
      <c r="Z71" s="2">
        <f t="shared" si="22"/>
        <v>346.29999999999995</v>
      </c>
      <c r="AA71" s="2">
        <f t="shared" si="22"/>
        <v>345.70000000000005</v>
      </c>
      <c r="AB71" s="2">
        <f t="shared" si="22"/>
        <v>273.79999999999995</v>
      </c>
      <c r="AC71" s="2">
        <f t="shared" si="22"/>
        <v>224.8</v>
      </c>
      <c r="AD71" s="2">
        <f t="shared" si="22"/>
        <v>201.19999999999996</v>
      </c>
      <c r="AE71" s="2">
        <f t="shared" si="22"/>
        <v>145.79999999999998</v>
      </c>
      <c r="AF71" s="2">
        <f t="shared" si="22"/>
        <v>349.69999999999993</v>
      </c>
      <c r="AG71" s="2">
        <f t="shared" si="22"/>
        <v>502.4</v>
      </c>
      <c r="AH71" s="2">
        <f t="shared" si="22"/>
        <v>951.9</v>
      </c>
      <c r="AI71" s="2">
        <f t="shared" si="22"/>
        <v>1245.3000000000002</v>
      </c>
      <c r="AJ71" s="2">
        <f t="shared" si="22"/>
        <v>1123.3999999999999</v>
      </c>
      <c r="AK71" s="2">
        <f t="shared" si="22"/>
        <v>1284.1999999999998</v>
      </c>
      <c r="AL71" s="2">
        <f t="shared" si="22"/>
        <v>1249.9</v>
      </c>
      <c r="AM71" s="2">
        <f t="shared" si="22"/>
        <v>2934.2999999999997</v>
      </c>
      <c r="AN71" s="2">
        <f t="shared" si="22"/>
        <v>4289.199999999999</v>
      </c>
      <c r="AO71" s="2">
        <f t="shared" si="22"/>
        <v>4431.799999999999</v>
      </c>
      <c r="AP71" s="2">
        <f t="shared" si="22"/>
        <v>5805.099999999999</v>
      </c>
      <c r="AQ71" s="2">
        <f t="shared" si="22"/>
        <v>7947.7</v>
      </c>
      <c r="AR71" s="2">
        <f t="shared" si="22"/>
        <v>11635.3</v>
      </c>
      <c r="AS71" s="2">
        <f t="shared" si="22"/>
        <v>0</v>
      </c>
      <c r="AT71" s="2">
        <f>SUM(AT72:AT78)</f>
        <v>0</v>
      </c>
      <c r="AU71" s="2">
        <f>SUM(AU72:AU78)</f>
        <v>0</v>
      </c>
    </row>
    <row r="72" spans="1:44" ht="12.75">
      <c r="A72" s="8" t="s">
        <v>68</v>
      </c>
      <c r="B72">
        <v>9.5</v>
      </c>
      <c r="C72">
        <v>10.4</v>
      </c>
      <c r="D72">
        <v>9.3</v>
      </c>
      <c r="E72">
        <v>8.7</v>
      </c>
      <c r="F72">
        <v>10.1</v>
      </c>
      <c r="G72">
        <v>11.2</v>
      </c>
      <c r="H72">
        <v>13</v>
      </c>
      <c r="I72">
        <v>16.2</v>
      </c>
      <c r="J72">
        <v>17.7</v>
      </c>
      <c r="K72">
        <v>21.6</v>
      </c>
      <c r="L72">
        <v>23.2</v>
      </c>
      <c r="M72">
        <v>25.1</v>
      </c>
      <c r="N72">
        <v>13.4</v>
      </c>
      <c r="O72">
        <v>17.2</v>
      </c>
      <c r="P72">
        <v>23</v>
      </c>
      <c r="Q72">
        <v>34</v>
      </c>
      <c r="R72">
        <v>46.3</v>
      </c>
      <c r="S72">
        <v>67.8</v>
      </c>
      <c r="T72">
        <v>94.6</v>
      </c>
      <c r="U72">
        <v>67.1</v>
      </c>
      <c r="V72">
        <v>62.4</v>
      </c>
      <c r="W72">
        <v>100</v>
      </c>
      <c r="X72">
        <v>101.2</v>
      </c>
      <c r="Y72">
        <v>74.5</v>
      </c>
      <c r="Z72">
        <v>125.9</v>
      </c>
      <c r="AA72">
        <v>139</v>
      </c>
      <c r="AB72">
        <v>109</v>
      </c>
      <c r="AC72">
        <v>76</v>
      </c>
      <c r="AD72">
        <v>66.1</v>
      </c>
      <c r="AE72">
        <v>49.8</v>
      </c>
      <c r="AF72">
        <v>70.3</v>
      </c>
      <c r="AG72">
        <v>114.9</v>
      </c>
      <c r="AH72">
        <v>180.3</v>
      </c>
      <c r="AI72">
        <v>213</v>
      </c>
      <c r="AJ72">
        <v>237.1</v>
      </c>
      <c r="AK72">
        <v>141.5</v>
      </c>
      <c r="AL72">
        <v>2.7</v>
      </c>
      <c r="AM72">
        <v>504.1</v>
      </c>
      <c r="AN72">
        <v>753</v>
      </c>
      <c r="AO72">
        <v>764.9</v>
      </c>
      <c r="AP72">
        <v>626.6</v>
      </c>
      <c r="AQ72">
        <v>700.8</v>
      </c>
      <c r="AR72">
        <v>966.3</v>
      </c>
    </row>
    <row r="73" spans="1:44" ht="12.75">
      <c r="A73" s="8" t="s">
        <v>69</v>
      </c>
      <c r="M73" s="33" t="s">
        <v>4</v>
      </c>
      <c r="N73">
        <v>9.7</v>
      </c>
      <c r="O73">
        <v>11.9</v>
      </c>
      <c r="P73">
        <v>15.8</v>
      </c>
      <c r="Q73">
        <v>21.6</v>
      </c>
      <c r="R73">
        <v>31.2</v>
      </c>
      <c r="S73">
        <v>36.9</v>
      </c>
      <c r="T73">
        <v>51.5</v>
      </c>
      <c r="U73">
        <v>36.3</v>
      </c>
      <c r="V73">
        <v>33.3</v>
      </c>
      <c r="W73">
        <v>52.1</v>
      </c>
      <c r="X73">
        <v>54.5</v>
      </c>
      <c r="Y73">
        <v>80.7</v>
      </c>
      <c r="Z73">
        <v>142.5</v>
      </c>
      <c r="AA73">
        <v>136.5</v>
      </c>
      <c r="AB73">
        <v>115.3</v>
      </c>
      <c r="AC73">
        <v>119</v>
      </c>
      <c r="AD73">
        <v>86.8</v>
      </c>
      <c r="AE73">
        <v>57.4</v>
      </c>
      <c r="AF73">
        <v>90.6</v>
      </c>
      <c r="AG73">
        <v>161.4</v>
      </c>
      <c r="AH73">
        <v>388.7</v>
      </c>
      <c r="AI73">
        <v>489.1</v>
      </c>
      <c r="AJ73">
        <v>416.9</v>
      </c>
      <c r="AK73">
        <v>589.5</v>
      </c>
      <c r="AL73">
        <v>789.8</v>
      </c>
      <c r="AM73">
        <v>1032.4</v>
      </c>
      <c r="AN73">
        <v>1301.7</v>
      </c>
      <c r="AO73">
        <v>1772.7</v>
      </c>
      <c r="AP73">
        <v>2419</v>
      </c>
      <c r="AQ73">
        <v>3457.1</v>
      </c>
      <c r="AR73">
        <v>6207.1</v>
      </c>
    </row>
    <row r="74" spans="1:44" ht="12.75">
      <c r="A74" s="8" t="s">
        <v>70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0.2</v>
      </c>
      <c r="X74">
        <v>7</v>
      </c>
      <c r="Y74">
        <v>33.1</v>
      </c>
      <c r="Z74">
        <v>20.8</v>
      </c>
      <c r="AA74">
        <v>31.8</v>
      </c>
      <c r="AB74">
        <v>12.2</v>
      </c>
      <c r="AC74">
        <v>3.9</v>
      </c>
      <c r="AD74">
        <v>1.2</v>
      </c>
      <c r="AE74">
        <v>1.7</v>
      </c>
      <c r="AF74">
        <v>2.5</v>
      </c>
      <c r="AG74">
        <v>2.9</v>
      </c>
      <c r="AH74">
        <v>2.9</v>
      </c>
      <c r="AI74">
        <v>8.1</v>
      </c>
      <c r="AJ74">
        <v>6.3</v>
      </c>
      <c r="AK74">
        <v>0</v>
      </c>
      <c r="AL74">
        <v>0</v>
      </c>
      <c r="AM74">
        <v>0.8</v>
      </c>
      <c r="AN74">
        <v>9.4</v>
      </c>
      <c r="AO74">
        <v>15.4</v>
      </c>
      <c r="AP74">
        <v>13.5</v>
      </c>
      <c r="AQ74">
        <v>12.4</v>
      </c>
      <c r="AR74">
        <v>0</v>
      </c>
    </row>
    <row r="75" spans="1:44" ht="12.75">
      <c r="A75" s="8" t="s">
        <v>71</v>
      </c>
      <c r="M75">
        <v>5.2</v>
      </c>
      <c r="N75">
        <v>9.2</v>
      </c>
      <c r="O75">
        <v>11.6</v>
      </c>
      <c r="P75">
        <v>17.5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7.1</v>
      </c>
      <c r="X75">
        <v>5.8</v>
      </c>
      <c r="Y75">
        <v>26.8</v>
      </c>
      <c r="Z75">
        <v>50.4</v>
      </c>
      <c r="AA75">
        <v>30.2</v>
      </c>
      <c r="AB75">
        <v>27</v>
      </c>
      <c r="AC75">
        <v>20.4</v>
      </c>
      <c r="AD75">
        <v>44.7</v>
      </c>
      <c r="AE75">
        <v>35.4</v>
      </c>
      <c r="AF75">
        <v>179.4</v>
      </c>
      <c r="AG75">
        <v>214.8</v>
      </c>
      <c r="AH75">
        <v>306.2</v>
      </c>
      <c r="AI75">
        <v>400.1</v>
      </c>
      <c r="AJ75">
        <v>243.9</v>
      </c>
      <c r="AK75">
        <v>389.6</v>
      </c>
      <c r="AL75">
        <v>404.7</v>
      </c>
      <c r="AM75">
        <v>1357.6</v>
      </c>
      <c r="AN75">
        <v>2162.7</v>
      </c>
      <c r="AO75">
        <v>1846.4</v>
      </c>
      <c r="AP75">
        <v>2531.6</v>
      </c>
      <c r="AQ75">
        <v>3480.1</v>
      </c>
      <c r="AR75">
        <v>4194.6</v>
      </c>
    </row>
    <row r="76" spans="1:44" ht="12.75">
      <c r="A76" s="8" t="s">
        <v>72</v>
      </c>
      <c r="M76">
        <v>0</v>
      </c>
      <c r="N76">
        <v>0.3</v>
      </c>
      <c r="O76">
        <v>0.4</v>
      </c>
      <c r="P76">
        <v>0.8</v>
      </c>
      <c r="Q76">
        <v>2</v>
      </c>
      <c r="R76">
        <v>5.6</v>
      </c>
      <c r="S76">
        <v>5.1</v>
      </c>
      <c r="T76">
        <v>6.5</v>
      </c>
      <c r="U76">
        <v>4</v>
      </c>
      <c r="V76">
        <v>1.5</v>
      </c>
      <c r="W76">
        <v>0.9</v>
      </c>
      <c r="X76">
        <v>0.5</v>
      </c>
      <c r="Y76">
        <v>0.9</v>
      </c>
      <c r="Z76">
        <v>5.3</v>
      </c>
      <c r="AA76">
        <v>5.6</v>
      </c>
      <c r="AB76">
        <v>7.4</v>
      </c>
      <c r="AC76">
        <v>3.7</v>
      </c>
      <c r="AD76">
        <v>1.9</v>
      </c>
      <c r="AE76">
        <v>1.1</v>
      </c>
      <c r="AF76">
        <v>1.4</v>
      </c>
      <c r="AG76">
        <v>7.5</v>
      </c>
      <c r="AH76">
        <v>71.7</v>
      </c>
      <c r="AI76">
        <v>121.2</v>
      </c>
      <c r="AJ76">
        <v>204.9</v>
      </c>
      <c r="AK76">
        <v>145.6</v>
      </c>
      <c r="AL76">
        <v>43.7</v>
      </c>
      <c r="AM76">
        <v>30.9</v>
      </c>
      <c r="AN76">
        <v>0</v>
      </c>
      <c r="AO76">
        <v>0</v>
      </c>
      <c r="AP76">
        <v>0</v>
      </c>
      <c r="AR76">
        <v>0</v>
      </c>
    </row>
    <row r="77" spans="1:44" ht="12.75">
      <c r="A77" s="11" t="s">
        <v>139</v>
      </c>
      <c r="AP77">
        <v>113.2</v>
      </c>
      <c r="AQ77">
        <v>224.6</v>
      </c>
      <c r="AR77">
        <v>178.3</v>
      </c>
    </row>
    <row r="78" spans="1:44" ht="12.75">
      <c r="A78" s="8" t="s">
        <v>62</v>
      </c>
      <c r="M78">
        <v>0.4</v>
      </c>
      <c r="N78">
        <v>4.7</v>
      </c>
      <c r="O78">
        <v>4.6</v>
      </c>
      <c r="P78">
        <v>3.6</v>
      </c>
      <c r="Q78">
        <v>6</v>
      </c>
      <c r="R78">
        <v>9.5</v>
      </c>
      <c r="S78">
        <v>12.8</v>
      </c>
      <c r="T78">
        <v>16.6</v>
      </c>
      <c r="U78">
        <v>36.3</v>
      </c>
      <c r="V78">
        <v>3.7</v>
      </c>
      <c r="W78">
        <v>1</v>
      </c>
      <c r="X78">
        <v>0.7</v>
      </c>
      <c r="Y78">
        <v>1.5</v>
      </c>
      <c r="Z78">
        <v>1.4</v>
      </c>
      <c r="AA78">
        <v>2.6</v>
      </c>
      <c r="AB78">
        <v>2.9</v>
      </c>
      <c r="AC78">
        <v>1.8</v>
      </c>
      <c r="AD78">
        <v>0.5</v>
      </c>
      <c r="AE78">
        <v>0.4</v>
      </c>
      <c r="AF78">
        <v>5.5</v>
      </c>
      <c r="AG78">
        <v>0.9</v>
      </c>
      <c r="AH78">
        <v>2.1</v>
      </c>
      <c r="AI78">
        <v>13.8</v>
      </c>
      <c r="AJ78">
        <v>14.3</v>
      </c>
      <c r="AK78">
        <v>18</v>
      </c>
      <c r="AL78">
        <v>9</v>
      </c>
      <c r="AM78">
        <v>8.5</v>
      </c>
      <c r="AN78">
        <v>62.4</v>
      </c>
      <c r="AO78">
        <v>32.4</v>
      </c>
      <c r="AP78">
        <v>101.2</v>
      </c>
      <c r="AQ78">
        <v>72.7</v>
      </c>
      <c r="AR78">
        <v>89</v>
      </c>
    </row>
    <row r="80" spans="1:47" s="2" customFormat="1" ht="12.75">
      <c r="A80" s="10" t="s">
        <v>73</v>
      </c>
      <c r="B80" s="2">
        <f>B81+B82+B83+B84+B85+B86+B87+B88</f>
        <v>3.4</v>
      </c>
      <c r="C80" s="2">
        <f aca="true" t="shared" si="23" ref="C80:R80">C81+C82+C83+C84+C85+C86+C87+C88</f>
        <v>4</v>
      </c>
      <c r="D80" s="2">
        <f t="shared" si="23"/>
        <v>4.2</v>
      </c>
      <c r="E80" s="2">
        <f t="shared" si="23"/>
        <v>4</v>
      </c>
      <c r="F80" s="2">
        <f t="shared" si="23"/>
        <v>5.4</v>
      </c>
      <c r="G80" s="2">
        <f t="shared" si="23"/>
        <v>6.9</v>
      </c>
      <c r="H80" s="2">
        <f t="shared" si="23"/>
        <v>9.2</v>
      </c>
      <c r="I80" s="2">
        <f t="shared" si="23"/>
        <v>9.2</v>
      </c>
      <c r="J80" s="2">
        <f>J81+J82+J83+J84+J85+J86+J87+J88</f>
        <v>10.5</v>
      </c>
      <c r="K80" s="2">
        <f>K81+K82+K83+K84+K85+K86+K87+K88</f>
        <v>13.4</v>
      </c>
      <c r="L80" s="2">
        <f t="shared" si="23"/>
        <v>15.5</v>
      </c>
      <c r="M80" s="2">
        <f t="shared" si="23"/>
        <v>12.3</v>
      </c>
      <c r="N80" s="2">
        <f t="shared" si="23"/>
        <v>13.1</v>
      </c>
      <c r="O80" s="2">
        <f t="shared" si="23"/>
        <v>14.5</v>
      </c>
      <c r="P80" s="2">
        <f t="shared" si="23"/>
        <v>17.599999999999998</v>
      </c>
      <c r="Q80" s="2">
        <f t="shared" si="23"/>
        <v>22</v>
      </c>
      <c r="R80" s="2">
        <f t="shared" si="23"/>
        <v>26.3</v>
      </c>
      <c r="S80" s="2">
        <f aca="true" t="shared" si="24" ref="S80:AH80">S81+S82+S83+S84+S85+S86+S87+S88</f>
        <v>32.5</v>
      </c>
      <c r="T80" s="2">
        <f t="shared" si="24"/>
        <v>44.1</v>
      </c>
      <c r="U80" s="2">
        <f t="shared" si="24"/>
        <v>52.699999999999996</v>
      </c>
      <c r="V80" s="2">
        <f t="shared" si="24"/>
        <v>39.3</v>
      </c>
      <c r="W80" s="2">
        <f t="shared" si="24"/>
        <v>49.9</v>
      </c>
      <c r="X80" s="2">
        <f t="shared" si="24"/>
        <v>62.50000000000001</v>
      </c>
      <c r="Y80" s="2">
        <f t="shared" si="24"/>
        <v>100.9</v>
      </c>
      <c r="Z80" s="2">
        <f t="shared" si="24"/>
        <v>118.2</v>
      </c>
      <c r="AA80" s="2">
        <f t="shared" si="24"/>
        <v>148.29999999999998</v>
      </c>
      <c r="AB80" s="2">
        <f t="shared" si="24"/>
        <v>230.3</v>
      </c>
      <c r="AC80" s="2">
        <f t="shared" si="24"/>
        <v>220</v>
      </c>
      <c r="AD80" s="2">
        <f t="shared" si="24"/>
        <v>216.70000000000002</v>
      </c>
      <c r="AE80" s="2">
        <f t="shared" si="24"/>
        <v>194.70000000000002</v>
      </c>
      <c r="AF80" s="2">
        <f t="shared" si="24"/>
        <v>178.4</v>
      </c>
      <c r="AG80" s="2">
        <f t="shared" si="24"/>
        <v>269.00000000000006</v>
      </c>
      <c r="AH80" s="2">
        <f t="shared" si="24"/>
        <v>417.29999999999995</v>
      </c>
      <c r="AI80" s="2">
        <f>AI81+AI82+AI83+AI84+AI85+AI86+AI87+AI88</f>
        <v>538.9000000000001</v>
      </c>
      <c r="AJ80" s="2">
        <f>AJ81+AJ82+AJ83+AJ84+AJ85+AJ86+AJ87+AJ88</f>
        <v>322.2</v>
      </c>
      <c r="AK80" s="2">
        <f>AK81+AK82+AK83+AK84+AK85+AK86+AK87+AK88</f>
        <v>352.4</v>
      </c>
      <c r="AL80" s="2">
        <f>AL81+AL82+AL83+AL84+AL85+AL86+AL87+AL88</f>
        <v>414.29999999999995</v>
      </c>
      <c r="AM80" s="2">
        <f>AM81+AM82+AM83+AM84+AM85+AM86+AM87+AM88</f>
        <v>655.3000000000001</v>
      </c>
      <c r="AN80" s="2">
        <f aca="true" t="shared" si="25" ref="AN80:AS80">AN81+AN82+AN83+AN84+AN85+AN86+AN87+AN88+AN89+AN90</f>
        <v>2002.4</v>
      </c>
      <c r="AO80" s="2">
        <f t="shared" si="25"/>
        <v>1578.5</v>
      </c>
      <c r="AP80" s="2">
        <f t="shared" si="25"/>
        <v>3442.2</v>
      </c>
      <c r="AQ80" s="2">
        <f t="shared" si="25"/>
        <v>5309.700000000001</v>
      </c>
      <c r="AR80" s="2">
        <f t="shared" si="25"/>
        <v>4175.1</v>
      </c>
      <c r="AS80" s="2">
        <f t="shared" si="25"/>
        <v>0</v>
      </c>
      <c r="AT80" s="2">
        <f>AT81+AT82+AT83+AT84+AT85+AT86+AT87+AT88+AT89+AT90</f>
        <v>0</v>
      </c>
      <c r="AU80" s="2">
        <f>AU81+AU82+AU83+AU84+AU85+AU86+AU87+AU88+AU89+AU90</f>
        <v>0</v>
      </c>
    </row>
    <row r="81" spans="1:44" ht="12.75">
      <c r="A81" s="8" t="s">
        <v>74</v>
      </c>
      <c r="M81">
        <v>8.5</v>
      </c>
      <c r="N81">
        <v>9.5</v>
      </c>
      <c r="O81">
        <v>10.2</v>
      </c>
      <c r="P81">
        <v>12.4</v>
      </c>
      <c r="Q81">
        <v>15</v>
      </c>
      <c r="R81">
        <v>17.7</v>
      </c>
      <c r="S81">
        <v>21.7</v>
      </c>
      <c r="T81">
        <v>32</v>
      </c>
      <c r="U81">
        <v>42.9</v>
      </c>
      <c r="V81">
        <v>33.2</v>
      </c>
      <c r="W81">
        <v>28.6</v>
      </c>
      <c r="X81">
        <v>25.1</v>
      </c>
      <c r="Y81">
        <v>27.2</v>
      </c>
      <c r="Z81">
        <v>25.2</v>
      </c>
      <c r="AA81">
        <v>43.5</v>
      </c>
      <c r="AB81">
        <v>55.7</v>
      </c>
      <c r="AC81">
        <v>39</v>
      </c>
      <c r="AD81">
        <v>48.2</v>
      </c>
      <c r="AE81">
        <v>34.7</v>
      </c>
      <c r="AF81">
        <v>39.3</v>
      </c>
      <c r="AG81">
        <v>53.7</v>
      </c>
      <c r="AH81">
        <v>44.3</v>
      </c>
      <c r="AI81">
        <v>49.6</v>
      </c>
      <c r="AJ81">
        <v>60.8</v>
      </c>
      <c r="AK81">
        <v>70.6</v>
      </c>
      <c r="AL81">
        <v>60.5</v>
      </c>
      <c r="AM81">
        <v>63.2</v>
      </c>
      <c r="AN81">
        <v>82.9</v>
      </c>
      <c r="AO81">
        <v>74.5</v>
      </c>
      <c r="AP81">
        <v>76.4</v>
      </c>
      <c r="AQ81">
        <v>76.4</v>
      </c>
      <c r="AR81">
        <v>84.5</v>
      </c>
    </row>
    <row r="82" spans="1:44" ht="12.75">
      <c r="A82" s="8" t="s">
        <v>75</v>
      </c>
      <c r="N82">
        <v>1.7</v>
      </c>
      <c r="O82">
        <v>1.9</v>
      </c>
      <c r="P82">
        <v>2.4</v>
      </c>
      <c r="Q82">
        <v>2.8</v>
      </c>
      <c r="R82">
        <v>3</v>
      </c>
      <c r="S82">
        <v>3.8</v>
      </c>
      <c r="T82">
        <v>4.2</v>
      </c>
      <c r="U82">
        <v>2.8</v>
      </c>
      <c r="V82">
        <v>1</v>
      </c>
      <c r="W82">
        <v>1</v>
      </c>
      <c r="X82">
        <v>1.3</v>
      </c>
      <c r="Y82">
        <v>7.2</v>
      </c>
      <c r="Z82">
        <v>10</v>
      </c>
      <c r="AA82">
        <v>9.7</v>
      </c>
      <c r="AB82">
        <v>11.2</v>
      </c>
      <c r="AC82">
        <v>8.6</v>
      </c>
      <c r="AD82">
        <v>20</v>
      </c>
      <c r="AE82">
        <v>29.1</v>
      </c>
      <c r="AF82">
        <v>29.2</v>
      </c>
      <c r="AG82">
        <v>36</v>
      </c>
      <c r="AH82">
        <v>41.5</v>
      </c>
      <c r="AI82">
        <v>38.8</v>
      </c>
      <c r="AJ82">
        <v>49.1</v>
      </c>
      <c r="AK82">
        <v>53.3</v>
      </c>
      <c r="AL82">
        <v>74.1</v>
      </c>
      <c r="AM82">
        <v>81.9</v>
      </c>
      <c r="AN82">
        <v>90.6</v>
      </c>
      <c r="AO82">
        <v>91.4</v>
      </c>
      <c r="AP82">
        <v>298.5</v>
      </c>
      <c r="AQ82">
        <v>326.5</v>
      </c>
      <c r="AR82">
        <v>325.7</v>
      </c>
    </row>
    <row r="83" spans="1:44" ht="12.75">
      <c r="A83" s="8" t="s">
        <v>76</v>
      </c>
      <c r="N83">
        <v>0.9</v>
      </c>
      <c r="O83">
        <v>1.1</v>
      </c>
      <c r="P83">
        <v>1.1</v>
      </c>
      <c r="Q83">
        <v>1.7</v>
      </c>
      <c r="R83">
        <v>2</v>
      </c>
      <c r="S83">
        <v>2.3</v>
      </c>
      <c r="T83">
        <v>2.8</v>
      </c>
      <c r="U83">
        <v>2.7</v>
      </c>
      <c r="V83">
        <v>1.9</v>
      </c>
      <c r="W83">
        <v>6.9</v>
      </c>
      <c r="X83">
        <v>7.1</v>
      </c>
      <c r="Y83">
        <v>8.4</v>
      </c>
      <c r="Z83">
        <v>11.4</v>
      </c>
      <c r="AA83">
        <v>11.5</v>
      </c>
      <c r="AB83">
        <v>8.1</v>
      </c>
      <c r="AC83">
        <v>4.1</v>
      </c>
      <c r="AD83">
        <v>5.4</v>
      </c>
      <c r="AE83">
        <v>6.5</v>
      </c>
      <c r="AF83">
        <v>5.4</v>
      </c>
      <c r="AG83">
        <v>16.7</v>
      </c>
      <c r="AH83">
        <v>67.6</v>
      </c>
      <c r="AI83">
        <v>128.2</v>
      </c>
      <c r="AJ83">
        <v>57.3</v>
      </c>
      <c r="AK83">
        <v>52.8</v>
      </c>
      <c r="AL83">
        <v>59.6</v>
      </c>
      <c r="AM83">
        <v>65.2</v>
      </c>
      <c r="AN83">
        <v>116.6</v>
      </c>
      <c r="AO83">
        <v>164.5</v>
      </c>
      <c r="AP83">
        <v>155.8</v>
      </c>
      <c r="AQ83">
        <v>160.3</v>
      </c>
      <c r="AR83">
        <v>220.9</v>
      </c>
    </row>
    <row r="84" spans="1:44" ht="12.75">
      <c r="A84" s="8" t="s">
        <v>77</v>
      </c>
      <c r="N84">
        <v>0.7</v>
      </c>
      <c r="O84">
        <v>0.9</v>
      </c>
      <c r="P84">
        <v>1.3</v>
      </c>
      <c r="Q84">
        <v>2</v>
      </c>
      <c r="R84">
        <v>3.1</v>
      </c>
      <c r="S84">
        <v>4.1</v>
      </c>
      <c r="T84">
        <v>4.5</v>
      </c>
      <c r="U84">
        <v>3.8</v>
      </c>
      <c r="V84">
        <v>2.3</v>
      </c>
      <c r="W84">
        <v>3.6</v>
      </c>
      <c r="X84">
        <v>3.4</v>
      </c>
      <c r="Y84">
        <v>5.2</v>
      </c>
      <c r="Z84">
        <v>6.7</v>
      </c>
      <c r="AA84">
        <v>7.9</v>
      </c>
      <c r="AB84">
        <v>14.6</v>
      </c>
      <c r="AC84">
        <v>13.2</v>
      </c>
      <c r="AD84">
        <v>9.7</v>
      </c>
      <c r="AE84">
        <v>8.3</v>
      </c>
      <c r="AF84">
        <v>7.2</v>
      </c>
      <c r="AG84">
        <v>20.2</v>
      </c>
      <c r="AH84">
        <v>60.2</v>
      </c>
      <c r="AI84">
        <v>129.5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1007.9</v>
      </c>
      <c r="AQ84">
        <v>1396.5</v>
      </c>
      <c r="AR84">
        <v>1769.1</v>
      </c>
    </row>
    <row r="85" spans="1:44" ht="12.75">
      <c r="A85" s="8" t="s">
        <v>78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7.9</v>
      </c>
      <c r="X85">
        <v>8.3</v>
      </c>
      <c r="Y85">
        <v>9.2</v>
      </c>
      <c r="Z85">
        <v>14.8</v>
      </c>
      <c r="AA85">
        <v>13.2</v>
      </c>
      <c r="AB85">
        <v>11.2</v>
      </c>
      <c r="AC85">
        <v>13.5</v>
      </c>
      <c r="AD85">
        <v>17.6</v>
      </c>
      <c r="AE85">
        <v>12.2</v>
      </c>
      <c r="AF85">
        <v>10.9</v>
      </c>
      <c r="AG85">
        <v>10.5</v>
      </c>
      <c r="AH85">
        <v>13.6</v>
      </c>
      <c r="AI85">
        <v>17.4</v>
      </c>
      <c r="AJ85">
        <v>19.4</v>
      </c>
      <c r="AK85">
        <v>21.5</v>
      </c>
      <c r="AL85">
        <v>20.9</v>
      </c>
      <c r="AM85">
        <v>65.9</v>
      </c>
      <c r="AN85">
        <v>57.9</v>
      </c>
      <c r="AO85">
        <v>111.3</v>
      </c>
      <c r="AP85">
        <v>105.5</v>
      </c>
      <c r="AQ85">
        <v>101.7</v>
      </c>
      <c r="AR85">
        <v>73.4</v>
      </c>
    </row>
    <row r="86" spans="1:44" ht="12.75">
      <c r="A86" s="8" t="s">
        <v>79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0.6</v>
      </c>
      <c r="X86">
        <v>16</v>
      </c>
      <c r="Y86">
        <v>41.7</v>
      </c>
      <c r="Z86">
        <v>44.4</v>
      </c>
      <c r="AA86">
        <v>53.1</v>
      </c>
      <c r="AB86">
        <v>119.2</v>
      </c>
      <c r="AC86">
        <v>135.6</v>
      </c>
      <c r="AD86">
        <v>109</v>
      </c>
      <c r="AE86">
        <v>92.8</v>
      </c>
      <c r="AF86">
        <v>71.3</v>
      </c>
      <c r="AG86">
        <v>119.7</v>
      </c>
      <c r="AH86">
        <v>122.3</v>
      </c>
      <c r="AI86">
        <v>76.1</v>
      </c>
      <c r="AJ86">
        <v>46.1</v>
      </c>
      <c r="AK86">
        <v>36.5</v>
      </c>
      <c r="AL86">
        <v>37.6</v>
      </c>
      <c r="AM86">
        <v>114.3</v>
      </c>
      <c r="AN86">
        <v>153.2</v>
      </c>
      <c r="AO86">
        <v>200.4</v>
      </c>
      <c r="AP86">
        <v>238.9</v>
      </c>
      <c r="AQ86">
        <v>292.4</v>
      </c>
      <c r="AR86">
        <v>347.6</v>
      </c>
    </row>
    <row r="87" spans="1:44" ht="12.75">
      <c r="A87" s="8" t="s">
        <v>80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0.2</v>
      </c>
      <c r="Y87">
        <v>0.7</v>
      </c>
      <c r="Z87">
        <v>4.2</v>
      </c>
      <c r="AA87">
        <v>5.2</v>
      </c>
      <c r="AB87">
        <v>7.5</v>
      </c>
      <c r="AC87">
        <v>3.4</v>
      </c>
      <c r="AD87">
        <v>5.4</v>
      </c>
      <c r="AE87">
        <v>8.7</v>
      </c>
      <c r="AF87">
        <v>12.5</v>
      </c>
      <c r="AG87">
        <v>8.1</v>
      </c>
      <c r="AH87">
        <v>14.7</v>
      </c>
      <c r="AI87">
        <v>19.6</v>
      </c>
      <c r="AJ87">
        <v>50</v>
      </c>
      <c r="AK87">
        <v>58.2</v>
      </c>
      <c r="AL87">
        <v>86.5</v>
      </c>
      <c r="AM87">
        <v>149.3</v>
      </c>
      <c r="AN87">
        <v>259.8</v>
      </c>
      <c r="AO87">
        <v>313.5</v>
      </c>
      <c r="AP87">
        <v>337.9</v>
      </c>
      <c r="AQ87">
        <v>406.3</v>
      </c>
      <c r="AR87">
        <v>330.4</v>
      </c>
    </row>
    <row r="88" spans="1:44" ht="12.75">
      <c r="A88" s="8" t="s">
        <v>62</v>
      </c>
      <c r="B88">
        <v>3.4</v>
      </c>
      <c r="C88">
        <v>4</v>
      </c>
      <c r="D88">
        <v>4.2</v>
      </c>
      <c r="E88">
        <v>4</v>
      </c>
      <c r="F88">
        <v>5.4</v>
      </c>
      <c r="G88">
        <v>6.9</v>
      </c>
      <c r="H88">
        <v>9.2</v>
      </c>
      <c r="I88">
        <v>9.2</v>
      </c>
      <c r="J88">
        <v>10.5</v>
      </c>
      <c r="K88">
        <v>13.4</v>
      </c>
      <c r="L88">
        <v>15.5</v>
      </c>
      <c r="M88">
        <v>3.8</v>
      </c>
      <c r="N88">
        <v>0.3</v>
      </c>
      <c r="O88">
        <v>0.4</v>
      </c>
      <c r="P88">
        <v>0.4</v>
      </c>
      <c r="Q88">
        <v>0.5</v>
      </c>
      <c r="R88">
        <v>0.5</v>
      </c>
      <c r="S88">
        <v>0.6</v>
      </c>
      <c r="T88">
        <v>0.6</v>
      </c>
      <c r="U88">
        <v>0.5</v>
      </c>
      <c r="V88">
        <v>0.9</v>
      </c>
      <c r="W88">
        <v>1.3</v>
      </c>
      <c r="X88">
        <v>1.1</v>
      </c>
      <c r="Y88">
        <v>1.3</v>
      </c>
      <c r="Z88">
        <v>1.5</v>
      </c>
      <c r="AA88">
        <v>4.2</v>
      </c>
      <c r="AB88">
        <v>2.8</v>
      </c>
      <c r="AC88">
        <v>2.6</v>
      </c>
      <c r="AD88">
        <v>1.4</v>
      </c>
      <c r="AE88">
        <v>2.4</v>
      </c>
      <c r="AF88">
        <v>2.6</v>
      </c>
      <c r="AG88">
        <v>4.1</v>
      </c>
      <c r="AH88">
        <v>53.1</v>
      </c>
      <c r="AI88">
        <v>79.7</v>
      </c>
      <c r="AJ88">
        <v>39.5</v>
      </c>
      <c r="AK88">
        <v>59.5</v>
      </c>
      <c r="AL88">
        <v>75.1</v>
      </c>
      <c r="AM88">
        <v>115.5</v>
      </c>
      <c r="AN88">
        <v>124.1</v>
      </c>
      <c r="AO88">
        <v>622.9</v>
      </c>
      <c r="AP88">
        <v>1221.3</v>
      </c>
      <c r="AQ88">
        <v>2549.6</v>
      </c>
      <c r="AR88">
        <v>1023.5</v>
      </c>
    </row>
    <row r="89" spans="1:40" ht="12.75">
      <c r="A89" s="11" t="s">
        <v>81</v>
      </c>
      <c r="AN89">
        <v>464.7</v>
      </c>
    </row>
    <row r="90" spans="1:40" ht="12.75">
      <c r="A90" s="11" t="s">
        <v>82</v>
      </c>
      <c r="AN90">
        <v>652.6</v>
      </c>
    </row>
    <row r="91" ht="12.75">
      <c r="A91" s="8"/>
    </row>
    <row r="92" spans="1:47" s="24" customFormat="1" ht="15">
      <c r="A92" s="25" t="s">
        <v>83</v>
      </c>
      <c r="B92" s="24">
        <f>B80+B71</f>
        <v>12.9</v>
      </c>
      <c r="C92" s="24">
        <f aca="true" t="shared" si="26" ref="C92:R92">C80+C71</f>
        <v>14.4</v>
      </c>
      <c r="D92" s="24">
        <f t="shared" si="26"/>
        <v>13.5</v>
      </c>
      <c r="E92" s="24">
        <f t="shared" si="26"/>
        <v>12.7</v>
      </c>
      <c r="F92" s="24">
        <f t="shared" si="26"/>
        <v>15.5</v>
      </c>
      <c r="G92" s="24">
        <f t="shared" si="26"/>
        <v>18.1</v>
      </c>
      <c r="H92" s="24">
        <f t="shared" si="26"/>
        <v>22.2</v>
      </c>
      <c r="I92" s="24">
        <f>I80+I71</f>
        <v>25.4</v>
      </c>
      <c r="J92" s="24">
        <f>J80+J71</f>
        <v>28.2</v>
      </c>
      <c r="K92" s="24">
        <f t="shared" si="26"/>
        <v>35</v>
      </c>
      <c r="L92" s="24">
        <f t="shared" si="26"/>
        <v>38.7</v>
      </c>
      <c r="M92" s="24">
        <f t="shared" si="26"/>
        <v>43</v>
      </c>
      <c r="N92" s="24">
        <f t="shared" si="26"/>
        <v>50.4</v>
      </c>
      <c r="O92" s="24">
        <f t="shared" si="26"/>
        <v>60.2</v>
      </c>
      <c r="P92" s="24">
        <f t="shared" si="26"/>
        <v>78.3</v>
      </c>
      <c r="Q92" s="24">
        <f t="shared" si="26"/>
        <v>85.6</v>
      </c>
      <c r="R92" s="24">
        <f t="shared" si="26"/>
        <v>118.89999999999999</v>
      </c>
      <c r="S92" s="24">
        <f aca="true" t="shared" si="27" ref="S92:AH92">S80+S71</f>
        <v>155.09999999999997</v>
      </c>
      <c r="T92" s="24">
        <f t="shared" si="27"/>
        <v>213.29999999999998</v>
      </c>
      <c r="U92" s="24">
        <f t="shared" si="27"/>
        <v>196.39999999999998</v>
      </c>
      <c r="V92" s="24">
        <f t="shared" si="27"/>
        <v>140.2</v>
      </c>
      <c r="W92" s="24">
        <f t="shared" si="27"/>
        <v>211.2</v>
      </c>
      <c r="X92" s="24">
        <f t="shared" si="27"/>
        <v>232.2</v>
      </c>
      <c r="Y92" s="24">
        <f t="shared" si="27"/>
        <v>318.4</v>
      </c>
      <c r="Z92" s="24">
        <f t="shared" si="27"/>
        <v>464.49999999999994</v>
      </c>
      <c r="AA92" s="24">
        <f t="shared" si="27"/>
        <v>494</v>
      </c>
      <c r="AB92" s="24">
        <f t="shared" si="27"/>
        <v>504.09999999999997</v>
      </c>
      <c r="AC92" s="24">
        <f t="shared" si="27"/>
        <v>444.8</v>
      </c>
      <c r="AD92" s="24">
        <f t="shared" si="27"/>
        <v>417.9</v>
      </c>
      <c r="AE92" s="24">
        <f t="shared" si="27"/>
        <v>340.5</v>
      </c>
      <c r="AF92" s="24">
        <f t="shared" si="27"/>
        <v>528.0999999999999</v>
      </c>
      <c r="AG92" s="24">
        <f t="shared" si="27"/>
        <v>771.4000000000001</v>
      </c>
      <c r="AH92" s="24">
        <f t="shared" si="27"/>
        <v>1369.1999999999998</v>
      </c>
      <c r="AI92" s="24">
        <f aca="true" t="shared" si="28" ref="AI92:AQ92">AI80+AI71</f>
        <v>1784.2000000000003</v>
      </c>
      <c r="AJ92" s="24">
        <f t="shared" si="28"/>
        <v>1445.6</v>
      </c>
      <c r="AK92" s="24">
        <f t="shared" si="28"/>
        <v>1636.6</v>
      </c>
      <c r="AL92" s="24">
        <f t="shared" si="28"/>
        <v>1664.2</v>
      </c>
      <c r="AM92" s="24">
        <f t="shared" si="28"/>
        <v>3589.6</v>
      </c>
      <c r="AN92" s="24">
        <f t="shared" si="28"/>
        <v>6291.5999999999985</v>
      </c>
      <c r="AO92" s="24">
        <f t="shared" si="28"/>
        <v>6010.299999999999</v>
      </c>
      <c r="AP92" s="24">
        <f t="shared" si="28"/>
        <v>9247.3</v>
      </c>
      <c r="AQ92" s="24">
        <f t="shared" si="28"/>
        <v>13257.400000000001</v>
      </c>
      <c r="AR92" s="24">
        <f>AR80+AR71</f>
        <v>15810.4</v>
      </c>
      <c r="AS92" s="24">
        <f>AS80+AS71</f>
        <v>0</v>
      </c>
      <c r="AT92" s="24">
        <f>AT80+AT71</f>
        <v>0</v>
      </c>
      <c r="AU92" s="24">
        <f>AU80+AU71</f>
        <v>0</v>
      </c>
    </row>
    <row r="93" s="1" customFormat="1" ht="12.75">
      <c r="A93" s="5"/>
    </row>
    <row r="94" spans="1:47" s="14" customFormat="1" ht="12.75">
      <c r="A94" s="13" t="s">
        <v>84</v>
      </c>
      <c r="B94" s="14">
        <f>B69+B92</f>
        <v>16.6</v>
      </c>
      <c r="C94" s="14">
        <f aca="true" t="shared" si="29" ref="C94:R94">C69+C92</f>
        <v>18.8</v>
      </c>
      <c r="D94" s="14">
        <f t="shared" si="29"/>
        <v>18</v>
      </c>
      <c r="E94" s="14">
        <f t="shared" si="29"/>
        <v>17.4</v>
      </c>
      <c r="F94" s="14">
        <f t="shared" si="29"/>
        <v>21.4</v>
      </c>
      <c r="G94" s="14">
        <f t="shared" si="29"/>
        <v>23.5</v>
      </c>
      <c r="H94" s="14">
        <f t="shared" si="29"/>
        <v>30.5</v>
      </c>
      <c r="I94" s="14">
        <f t="shared" si="29"/>
        <v>34.599999999999994</v>
      </c>
      <c r="J94" s="14">
        <f t="shared" si="29"/>
        <v>42.2</v>
      </c>
      <c r="K94" s="14">
        <f t="shared" si="29"/>
        <v>52.532</v>
      </c>
      <c r="L94" s="14">
        <f t="shared" si="29"/>
        <v>59.82900000000001</v>
      </c>
      <c r="M94" s="14">
        <f t="shared" si="29"/>
        <v>69.1</v>
      </c>
      <c r="N94" s="14">
        <f t="shared" si="29"/>
        <v>80.6</v>
      </c>
      <c r="O94" s="14">
        <f t="shared" si="29"/>
        <v>99.4</v>
      </c>
      <c r="P94" s="14">
        <f t="shared" si="29"/>
        <v>131.2</v>
      </c>
      <c r="Q94" s="14">
        <f t="shared" si="29"/>
        <v>157.8</v>
      </c>
      <c r="R94" s="14">
        <f t="shared" si="29"/>
        <v>270.8</v>
      </c>
      <c r="S94" s="14">
        <f aca="true" t="shared" si="30" ref="S94:AH94">S69+S92</f>
        <v>342.9</v>
      </c>
      <c r="T94" s="14">
        <f t="shared" si="30"/>
        <v>443.59999999999997</v>
      </c>
      <c r="U94" s="14">
        <f t="shared" si="30"/>
        <v>465.9</v>
      </c>
      <c r="V94" s="14">
        <f t="shared" si="30"/>
        <v>368.3</v>
      </c>
      <c r="W94" s="14">
        <f t="shared" si="30"/>
        <v>340.4</v>
      </c>
      <c r="X94" s="14">
        <f t="shared" si="30"/>
        <v>554.0999999999999</v>
      </c>
      <c r="Y94" s="14">
        <f t="shared" si="30"/>
        <v>613.9</v>
      </c>
      <c r="Z94" s="14">
        <f t="shared" si="30"/>
        <v>796.5</v>
      </c>
      <c r="AA94" s="14">
        <f t="shared" si="30"/>
        <v>898.7</v>
      </c>
      <c r="AB94" s="14">
        <f t="shared" si="30"/>
        <v>1033.7</v>
      </c>
      <c r="AC94" s="14">
        <f t="shared" si="30"/>
        <v>1024.6</v>
      </c>
      <c r="AD94" s="14">
        <f t="shared" si="30"/>
        <v>1030.1999999999998</v>
      </c>
      <c r="AE94" s="14">
        <f t="shared" si="30"/>
        <v>986.5</v>
      </c>
      <c r="AF94" s="14">
        <f t="shared" si="30"/>
        <v>1187.8</v>
      </c>
      <c r="AG94" s="14">
        <f t="shared" si="30"/>
        <v>1695</v>
      </c>
      <c r="AH94" s="14">
        <f t="shared" si="30"/>
        <v>2765.2</v>
      </c>
      <c r="AI94" s="14">
        <f aca="true" t="shared" si="31" ref="AI94:AQ94">AI69+AI92</f>
        <v>3775.5</v>
      </c>
      <c r="AJ94" s="14">
        <f t="shared" si="31"/>
        <v>4061.2999999999997</v>
      </c>
      <c r="AK94" s="14">
        <f t="shared" si="31"/>
        <v>5490.799999999999</v>
      </c>
      <c r="AL94" s="14">
        <f t="shared" si="31"/>
        <v>7312.999999999999</v>
      </c>
      <c r="AM94" s="14">
        <f t="shared" si="31"/>
        <v>12560.2</v>
      </c>
      <c r="AN94" s="14">
        <f t="shared" si="31"/>
        <v>17344.6</v>
      </c>
      <c r="AO94" s="14">
        <f t="shared" si="31"/>
        <v>18686.6</v>
      </c>
      <c r="AP94" s="14">
        <f t="shared" si="31"/>
        <v>25831.3</v>
      </c>
      <c r="AQ94" s="14">
        <f t="shared" si="31"/>
        <v>32842.100000000006</v>
      </c>
      <c r="AR94" s="14">
        <f>AR69+AR92</f>
        <v>38796.7</v>
      </c>
      <c r="AS94" s="14">
        <f>AS69+AS92</f>
        <v>0</v>
      </c>
      <c r="AT94" s="14">
        <f>AT69+AT92</f>
        <v>0</v>
      </c>
      <c r="AU94" s="14">
        <f>AU69+AU92</f>
        <v>0</v>
      </c>
    </row>
    <row r="96" spans="1:48" s="1" customFormat="1" ht="12.75">
      <c r="A96" s="5" t="s">
        <v>44</v>
      </c>
      <c r="B96" s="1">
        <f aca="true" t="shared" si="32" ref="B96:Q96">B94-B104</f>
        <v>0</v>
      </c>
      <c r="C96" s="1">
        <f t="shared" si="32"/>
        <v>0</v>
      </c>
      <c r="D96" s="1">
        <f t="shared" si="32"/>
        <v>0</v>
      </c>
      <c r="E96" s="1">
        <f t="shared" si="32"/>
        <v>0</v>
      </c>
      <c r="F96" s="51">
        <f t="shared" si="32"/>
        <v>0</v>
      </c>
      <c r="G96" s="1">
        <f t="shared" si="32"/>
        <v>0</v>
      </c>
      <c r="H96" s="1">
        <f t="shared" si="32"/>
        <v>0</v>
      </c>
      <c r="I96" s="1">
        <f t="shared" si="32"/>
        <v>0</v>
      </c>
      <c r="J96" s="1">
        <f t="shared" si="32"/>
        <v>0</v>
      </c>
      <c r="K96" s="34">
        <f t="shared" si="32"/>
        <v>-0.06800000000000495</v>
      </c>
      <c r="L96" s="34">
        <f t="shared" si="32"/>
        <v>-0.07099999999999085</v>
      </c>
      <c r="M96" s="34">
        <f t="shared" si="32"/>
        <v>-2.5</v>
      </c>
      <c r="N96" s="1">
        <f t="shared" si="32"/>
        <v>0</v>
      </c>
      <c r="O96" s="1">
        <f t="shared" si="32"/>
        <v>0</v>
      </c>
      <c r="P96" s="1">
        <f t="shared" si="32"/>
        <v>0</v>
      </c>
      <c r="Q96" s="1">
        <f t="shared" si="32"/>
        <v>0</v>
      </c>
      <c r="R96" s="1">
        <f aca="true" t="shared" si="33" ref="R96:AG96">R94-R104</f>
        <v>0</v>
      </c>
      <c r="S96" s="1">
        <f t="shared" si="33"/>
        <v>0</v>
      </c>
      <c r="T96" s="1">
        <f t="shared" si="33"/>
        <v>0</v>
      </c>
      <c r="U96" s="1">
        <f t="shared" si="33"/>
        <v>0</v>
      </c>
      <c r="V96" s="1">
        <f t="shared" si="33"/>
        <v>0</v>
      </c>
      <c r="W96" s="1">
        <f t="shared" si="33"/>
        <v>0</v>
      </c>
      <c r="X96" s="1">
        <f t="shared" si="33"/>
        <v>0</v>
      </c>
      <c r="Y96" s="1">
        <f t="shared" si="33"/>
        <v>0</v>
      </c>
      <c r="Z96" s="1">
        <f t="shared" si="33"/>
        <v>0</v>
      </c>
      <c r="AA96" s="1">
        <f t="shared" si="33"/>
        <v>0</v>
      </c>
      <c r="AB96" s="1">
        <f t="shared" si="33"/>
        <v>0</v>
      </c>
      <c r="AC96" s="1">
        <f t="shared" si="33"/>
        <v>0</v>
      </c>
      <c r="AD96" s="1">
        <f t="shared" si="33"/>
        <v>0</v>
      </c>
      <c r="AE96" s="1">
        <f t="shared" si="33"/>
        <v>0</v>
      </c>
      <c r="AF96" s="1">
        <f t="shared" si="33"/>
        <v>0</v>
      </c>
      <c r="AG96" s="1">
        <f t="shared" si="33"/>
        <v>0</v>
      </c>
      <c r="AH96" s="1">
        <f aca="true" t="shared" si="34" ref="AH96:AS96">AH94-AH104</f>
        <v>0</v>
      </c>
      <c r="AI96" s="1">
        <f t="shared" si="34"/>
        <v>0</v>
      </c>
      <c r="AJ96" s="1">
        <f t="shared" si="34"/>
        <v>0</v>
      </c>
      <c r="AK96" s="1">
        <f t="shared" si="34"/>
        <v>0</v>
      </c>
      <c r="AL96" s="34">
        <f t="shared" si="34"/>
        <v>0</v>
      </c>
      <c r="AM96" s="1">
        <f t="shared" si="34"/>
        <v>0</v>
      </c>
      <c r="AN96" s="1">
        <f t="shared" si="34"/>
        <v>0</v>
      </c>
      <c r="AO96" s="1">
        <f t="shared" si="34"/>
        <v>0</v>
      </c>
      <c r="AP96" s="1">
        <f t="shared" si="34"/>
        <v>0</v>
      </c>
      <c r="AQ96" s="1">
        <f t="shared" si="34"/>
        <v>0</v>
      </c>
      <c r="AR96" s="1">
        <f t="shared" si="34"/>
        <v>0</v>
      </c>
      <c r="AS96" s="1">
        <f t="shared" si="34"/>
        <v>0</v>
      </c>
      <c r="AT96" s="1">
        <f>AT94-AT104</f>
        <v>0</v>
      </c>
      <c r="AU96" s="1">
        <f>AU94-AU104</f>
        <v>0</v>
      </c>
      <c r="AV96" s="1" t="s">
        <v>85</v>
      </c>
    </row>
    <row r="97" spans="1:14" s="15" customFormat="1" ht="12.75">
      <c r="A97" s="16" t="s">
        <v>45</v>
      </c>
      <c r="B97" s="15" t="s">
        <v>86</v>
      </c>
      <c r="C97" s="15" t="s">
        <v>86</v>
      </c>
      <c r="D97" s="15" t="s">
        <v>86</v>
      </c>
      <c r="E97" s="15" t="s">
        <v>86</v>
      </c>
      <c r="F97" s="15" t="s">
        <v>87</v>
      </c>
      <c r="G97" s="15" t="s">
        <v>87</v>
      </c>
      <c r="H97" s="15" t="s">
        <v>87</v>
      </c>
      <c r="I97" s="15" t="s">
        <v>87</v>
      </c>
      <c r="J97" s="15" t="s">
        <v>88</v>
      </c>
      <c r="K97" s="43" t="s">
        <v>89</v>
      </c>
      <c r="L97" s="43" t="s">
        <v>89</v>
      </c>
      <c r="M97" s="15" t="s">
        <v>90</v>
      </c>
      <c r="N97" s="15" t="s">
        <v>49</v>
      </c>
    </row>
    <row r="98" spans="1:43" ht="19.5" customHeight="1">
      <c r="A98" s="21" t="s">
        <v>91</v>
      </c>
      <c r="B98" s="81">
        <v>19.6</v>
      </c>
      <c r="C98" s="81">
        <v>21.4</v>
      </c>
      <c r="D98" s="81">
        <v>21.8</v>
      </c>
      <c r="E98" s="81">
        <v>24.9</v>
      </c>
      <c r="AN98" s="69"/>
      <c r="AO98" s="69"/>
      <c r="AP98" s="69"/>
      <c r="AQ98" s="69"/>
    </row>
    <row r="99" spans="1:47" s="29" customFormat="1" ht="15">
      <c r="A99" s="23" t="s">
        <v>92</v>
      </c>
      <c r="B99" s="29">
        <f>B100+B104+B105</f>
        <v>31.3</v>
      </c>
      <c r="C99" s="29">
        <f aca="true" t="shared" si="35" ref="C99:R99">C100+C104+C105</f>
        <v>37</v>
      </c>
      <c r="D99" s="29">
        <f t="shared" si="35"/>
        <v>38</v>
      </c>
      <c r="E99" s="29">
        <f t="shared" si="35"/>
        <v>42.8</v>
      </c>
      <c r="F99" s="29">
        <f t="shared" si="35"/>
        <v>60.7</v>
      </c>
      <c r="G99" s="29">
        <f t="shared" si="35"/>
        <v>69.1</v>
      </c>
      <c r="H99" s="29">
        <f t="shared" si="35"/>
        <v>91.3</v>
      </c>
      <c r="I99" s="29">
        <f t="shared" si="35"/>
        <v>99.19999999999999</v>
      </c>
      <c r="J99" s="29">
        <f t="shared" si="35"/>
        <v>107.80000000000001</v>
      </c>
      <c r="K99" s="29">
        <f t="shared" si="35"/>
        <v>127.30000000000001</v>
      </c>
      <c r="L99" s="29">
        <f t="shared" si="35"/>
        <v>149.10000000000002</v>
      </c>
      <c r="M99" s="29">
        <f t="shared" si="35"/>
        <v>172.29999999999998</v>
      </c>
      <c r="N99" s="29">
        <f t="shared" si="35"/>
        <v>258.3</v>
      </c>
      <c r="O99" s="29">
        <f t="shared" si="35"/>
        <v>302.1</v>
      </c>
      <c r="P99" s="29">
        <f t="shared" si="35"/>
        <v>464.8</v>
      </c>
      <c r="Q99" s="29">
        <f t="shared" si="35"/>
        <v>1394.4</v>
      </c>
      <c r="R99" s="29">
        <f t="shared" si="35"/>
        <v>1582.1</v>
      </c>
      <c r="S99" s="29">
        <f aca="true" t="shared" si="36" ref="S99:AH99">S100+S104+S105</f>
        <v>1836.4</v>
      </c>
      <c r="T99" s="29">
        <f t="shared" si="36"/>
        <v>2034.1999999999998</v>
      </c>
      <c r="U99" s="29">
        <f t="shared" si="36"/>
        <v>1598.8999999999999</v>
      </c>
      <c r="V99" s="29">
        <f t="shared" si="36"/>
        <v>1699.6</v>
      </c>
      <c r="W99" s="29">
        <f t="shared" si="36"/>
        <v>1325.8999999999999</v>
      </c>
      <c r="X99" s="29">
        <f t="shared" si="36"/>
        <v>1770.1</v>
      </c>
      <c r="Y99" s="29">
        <f t="shared" si="36"/>
        <v>2501.9</v>
      </c>
      <c r="Z99" s="29">
        <f t="shared" si="36"/>
        <v>2773.7000000000003</v>
      </c>
      <c r="AA99" s="29">
        <f t="shared" si="36"/>
        <v>2714.7000000000003</v>
      </c>
      <c r="AB99" s="29">
        <f t="shared" si="36"/>
        <v>2666.2000000000003</v>
      </c>
      <c r="AC99" s="29">
        <f t="shared" si="36"/>
        <v>1707.2999999999997</v>
      </c>
      <c r="AD99" s="29">
        <f t="shared" si="36"/>
        <v>2171.5</v>
      </c>
      <c r="AE99" s="29">
        <f t="shared" si="36"/>
        <v>2085.4</v>
      </c>
      <c r="AF99" s="29">
        <f t="shared" si="36"/>
        <v>3174.6</v>
      </c>
      <c r="AG99" s="29">
        <f t="shared" si="36"/>
        <v>5632.500000000001</v>
      </c>
      <c r="AH99" s="29">
        <f t="shared" si="36"/>
        <v>6933.5</v>
      </c>
      <c r="AI99" s="29">
        <f aca="true" t="shared" si="37" ref="AI99:AQ99">AI100+AI104+AI105</f>
        <v>9884.5</v>
      </c>
      <c r="AJ99" s="29">
        <f t="shared" si="37"/>
        <v>20250.7</v>
      </c>
      <c r="AK99" s="29">
        <f t="shared" si="37"/>
        <v>29244.5</v>
      </c>
      <c r="AL99" s="29">
        <f t="shared" si="37"/>
        <v>41575.399999999994</v>
      </c>
      <c r="AM99" s="29">
        <f t="shared" si="37"/>
        <v>57121.9</v>
      </c>
      <c r="AN99" s="29">
        <f t="shared" si="37"/>
        <v>62378.1</v>
      </c>
      <c r="AO99" s="29">
        <f t="shared" si="37"/>
        <v>53626</v>
      </c>
      <c r="AP99" s="29">
        <f t="shared" si="37"/>
        <v>92315.7</v>
      </c>
      <c r="AQ99" s="70">
        <f t="shared" si="37"/>
        <v>104640.8</v>
      </c>
      <c r="AR99" s="29">
        <f>AR100+AR104+AR105</f>
        <v>125479.5</v>
      </c>
      <c r="AS99" s="29">
        <f>AS100+AS104+AS105</f>
        <v>0</v>
      </c>
      <c r="AT99" s="29">
        <f>AT100+AT104+AT105</f>
        <v>0</v>
      </c>
      <c r="AU99" s="29">
        <f>AU100+AU104+AU105</f>
        <v>0</v>
      </c>
    </row>
    <row r="100" spans="1:47" s="1" customFormat="1" ht="12.75">
      <c r="A100" s="9" t="s">
        <v>93</v>
      </c>
      <c r="B100" s="1">
        <f>B101+B102+B103</f>
        <v>8.2</v>
      </c>
      <c r="C100" s="1">
        <f aca="true" t="shared" si="38" ref="C100:M100">C101+C102+C103</f>
        <v>9.2</v>
      </c>
      <c r="D100" s="1">
        <f t="shared" si="38"/>
        <v>8.1</v>
      </c>
      <c r="E100" s="1">
        <f t="shared" si="38"/>
        <v>13.8</v>
      </c>
      <c r="F100" s="1">
        <f t="shared" si="38"/>
        <v>27.700000000000003</v>
      </c>
      <c r="G100" s="1">
        <f t="shared" si="38"/>
        <v>36.4</v>
      </c>
      <c r="H100" s="1">
        <f t="shared" si="38"/>
        <v>50</v>
      </c>
      <c r="I100" s="1">
        <f t="shared" si="38"/>
        <v>47.4</v>
      </c>
      <c r="J100" s="1">
        <f t="shared" si="38"/>
        <v>54</v>
      </c>
      <c r="K100" s="1">
        <f t="shared" si="38"/>
        <v>61.8</v>
      </c>
      <c r="L100" s="1">
        <f t="shared" si="38"/>
        <v>76.4</v>
      </c>
      <c r="M100" s="1">
        <f t="shared" si="38"/>
        <v>85.1</v>
      </c>
      <c r="N100" s="1">
        <v>155.3</v>
      </c>
      <c r="O100" s="1">
        <v>178.2</v>
      </c>
      <c r="P100" s="1">
        <v>311.3</v>
      </c>
      <c r="Q100" s="1">
        <v>1205.2</v>
      </c>
      <c r="R100" s="1">
        <v>1246.8</v>
      </c>
      <c r="S100" s="1">
        <v>1421.5</v>
      </c>
      <c r="T100" s="1">
        <v>1497.8</v>
      </c>
      <c r="U100" s="1">
        <v>1013.2</v>
      </c>
      <c r="V100" s="1">
        <v>1219.7</v>
      </c>
      <c r="W100" s="1">
        <v>888.8</v>
      </c>
      <c r="X100" s="1">
        <v>1056.4</v>
      </c>
      <c r="Y100" s="1">
        <v>1689.5</v>
      </c>
      <c r="Z100" s="1">
        <v>1779.4</v>
      </c>
      <c r="AA100" s="1">
        <v>1373.1</v>
      </c>
      <c r="AB100" s="1">
        <v>1188.7</v>
      </c>
      <c r="AC100" s="1">
        <v>416.8</v>
      </c>
      <c r="AD100" s="1">
        <v>766.2</v>
      </c>
      <c r="AE100" s="1">
        <v>667.8</v>
      </c>
      <c r="AF100" s="1">
        <v>770.8</v>
      </c>
      <c r="AG100" s="1">
        <f>AG101+AG102+AG103</f>
        <v>3369.2000000000003</v>
      </c>
      <c r="AH100" s="1">
        <f>AH101+AH102+AH103</f>
        <v>3544.2999999999997</v>
      </c>
      <c r="AI100" s="1">
        <f aca="true" t="shared" si="39" ref="AI100:AQ100">AI101+AI102+AI103</f>
        <v>5141.3</v>
      </c>
      <c r="AJ100" s="1">
        <f t="shared" si="39"/>
        <v>14683.2</v>
      </c>
      <c r="AK100" s="1">
        <f t="shared" si="39"/>
        <v>21479.7</v>
      </c>
      <c r="AL100" s="1">
        <f t="shared" si="39"/>
        <v>26666.2</v>
      </c>
      <c r="AM100" s="1">
        <f t="shared" si="39"/>
        <v>32745.7</v>
      </c>
      <c r="AN100" s="1">
        <f t="shared" si="39"/>
        <v>26018</v>
      </c>
      <c r="AO100" s="1">
        <f t="shared" si="39"/>
        <v>16598</v>
      </c>
      <c r="AP100" s="1">
        <f t="shared" si="39"/>
        <v>25955.4</v>
      </c>
      <c r="AQ100" s="1">
        <f t="shared" si="39"/>
        <v>20125</v>
      </c>
      <c r="AR100" s="1">
        <f>AR101+AR102+AR103</f>
        <v>22512</v>
      </c>
      <c r="AS100" s="1">
        <f>AS101+AS102+AS103</f>
        <v>0</v>
      </c>
      <c r="AT100" s="1">
        <f>AT101+AT102+AT103</f>
        <v>0</v>
      </c>
      <c r="AU100" s="1">
        <f>AU101+AU102+AU103</f>
        <v>0</v>
      </c>
    </row>
    <row r="101" spans="1:44" ht="12.75">
      <c r="A101" s="8" t="s">
        <v>94</v>
      </c>
      <c r="B101">
        <f>8.2</f>
        <v>8.2</v>
      </c>
      <c r="C101">
        <v>9.2</v>
      </c>
      <c r="D101">
        <v>8.1</v>
      </c>
      <c r="E101">
        <v>13.8</v>
      </c>
      <c r="F101">
        <f>11.4+16.3</f>
        <v>27.700000000000003</v>
      </c>
      <c r="G101">
        <f>14.1+22.3</f>
        <v>36.4</v>
      </c>
      <c r="H101">
        <v>50</v>
      </c>
      <c r="I101">
        <v>47.4</v>
      </c>
      <c r="J101">
        <f>13+41</f>
        <v>54</v>
      </c>
      <c r="K101">
        <f>15+46.8</f>
        <v>61.8</v>
      </c>
      <c r="L101">
        <f>16+60.4</f>
        <v>76.4</v>
      </c>
      <c r="M101">
        <v>85.1</v>
      </c>
      <c r="N101" t="s">
        <v>4</v>
      </c>
      <c r="O101" t="s">
        <v>4</v>
      </c>
      <c r="P101" t="s">
        <v>4</v>
      </c>
      <c r="Q101" t="s">
        <v>4</v>
      </c>
      <c r="R101" t="s">
        <v>4</v>
      </c>
      <c r="S101" t="s">
        <v>4</v>
      </c>
      <c r="T101" t="s">
        <v>4</v>
      </c>
      <c r="U101" t="s">
        <v>4</v>
      </c>
      <c r="V101" t="s">
        <v>4</v>
      </c>
      <c r="W101" t="s">
        <v>4</v>
      </c>
      <c r="X101" t="s">
        <v>4</v>
      </c>
      <c r="Y101" t="s">
        <v>4</v>
      </c>
      <c r="Z101" t="s">
        <v>4</v>
      </c>
      <c r="AA101" t="s">
        <v>4</v>
      </c>
      <c r="AB101" t="s">
        <v>4</v>
      </c>
      <c r="AC101" t="s">
        <v>4</v>
      </c>
      <c r="AD101" t="s">
        <v>4</v>
      </c>
      <c r="AE101" t="s">
        <v>4</v>
      </c>
      <c r="AF101" t="s">
        <v>4</v>
      </c>
      <c r="AG101">
        <v>1113.9</v>
      </c>
      <c r="AH101">
        <v>1027.1</v>
      </c>
      <c r="AI101">
        <v>1060.8</v>
      </c>
      <c r="AJ101">
        <v>9908.2</v>
      </c>
      <c r="AK101">
        <v>21479.7</v>
      </c>
      <c r="AL101">
        <v>26666.2</v>
      </c>
      <c r="AM101">
        <v>32745.7</v>
      </c>
      <c r="AN101">
        <v>26018</v>
      </c>
      <c r="AO101">
        <v>16598</v>
      </c>
      <c r="AP101">
        <v>25955.4</v>
      </c>
      <c r="AQ101">
        <v>20125</v>
      </c>
      <c r="AR101">
        <v>22512</v>
      </c>
    </row>
    <row r="102" spans="1:44" ht="12.75">
      <c r="A102" s="8" t="s">
        <v>95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 t="s">
        <v>4</v>
      </c>
      <c r="O102" t="s">
        <v>4</v>
      </c>
      <c r="P102" t="s">
        <v>4</v>
      </c>
      <c r="Q102" t="s">
        <v>4</v>
      </c>
      <c r="R102" t="s">
        <v>4</v>
      </c>
      <c r="S102" t="s">
        <v>4</v>
      </c>
      <c r="T102" t="s">
        <v>4</v>
      </c>
      <c r="U102" t="s">
        <v>4</v>
      </c>
      <c r="V102" t="s">
        <v>4</v>
      </c>
      <c r="W102" t="s">
        <v>4</v>
      </c>
      <c r="X102" t="s">
        <v>4</v>
      </c>
      <c r="Y102" t="s">
        <v>4</v>
      </c>
      <c r="Z102" t="s">
        <v>4</v>
      </c>
      <c r="AA102" t="s">
        <v>4</v>
      </c>
      <c r="AB102" t="s">
        <v>4</v>
      </c>
      <c r="AC102" t="s">
        <v>4</v>
      </c>
      <c r="AD102" t="s">
        <v>4</v>
      </c>
      <c r="AE102" t="s">
        <v>4</v>
      </c>
      <c r="AF102" t="s">
        <v>4</v>
      </c>
      <c r="AG102">
        <v>2250.9</v>
      </c>
      <c r="AH102">
        <v>2505.6</v>
      </c>
      <c r="AI102">
        <v>4072.9</v>
      </c>
      <c r="AJ102">
        <v>4775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 s="8" t="s">
        <v>96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 t="s">
        <v>4</v>
      </c>
      <c r="O103" t="s">
        <v>4</v>
      </c>
      <c r="P103" t="s">
        <v>4</v>
      </c>
      <c r="Q103" t="s">
        <v>4</v>
      </c>
      <c r="R103" t="s">
        <v>4</v>
      </c>
      <c r="S103" t="s">
        <v>4</v>
      </c>
      <c r="T103" t="s">
        <v>4</v>
      </c>
      <c r="U103" t="s">
        <v>4</v>
      </c>
      <c r="V103" t="s">
        <v>4</v>
      </c>
      <c r="W103" t="s">
        <v>4</v>
      </c>
      <c r="X103" t="s">
        <v>4</v>
      </c>
      <c r="Y103" t="s">
        <v>4</v>
      </c>
      <c r="Z103" t="s">
        <v>4</v>
      </c>
      <c r="AA103" t="s">
        <v>4</v>
      </c>
      <c r="AB103" t="s">
        <v>4</v>
      </c>
      <c r="AC103" t="s">
        <v>4</v>
      </c>
      <c r="AD103" t="s">
        <v>4</v>
      </c>
      <c r="AE103" t="s">
        <v>4</v>
      </c>
      <c r="AF103" t="s">
        <v>4</v>
      </c>
      <c r="AG103">
        <v>4.4</v>
      </c>
      <c r="AH103">
        <v>11.6</v>
      </c>
      <c r="AI103">
        <v>7.6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7" s="1" customFormat="1" ht="12.75">
      <c r="A104" s="9" t="s">
        <v>97</v>
      </c>
      <c r="B104" s="1">
        <f>3.7+3.4+9.5</f>
        <v>16.6</v>
      </c>
      <c r="C104" s="1">
        <f>4.4+4+10.4</f>
        <v>18.8</v>
      </c>
      <c r="D104" s="1">
        <f>4.5+4.2+9.3</f>
        <v>18</v>
      </c>
      <c r="E104" s="1">
        <f>4.7+4+8.7</f>
        <v>17.4</v>
      </c>
      <c r="F104" s="1">
        <f>5.9+5.4+10.1</f>
        <v>21.4</v>
      </c>
      <c r="G104" s="1">
        <f>5.4+6.9+11.2</f>
        <v>23.5</v>
      </c>
      <c r="H104" s="1">
        <f>H94</f>
        <v>30.5</v>
      </c>
      <c r="I104" s="1">
        <f>I94</f>
        <v>34.599999999999994</v>
      </c>
      <c r="J104" s="1">
        <v>42.2</v>
      </c>
      <c r="K104" s="1">
        <v>52.6</v>
      </c>
      <c r="L104" s="1">
        <v>59.9</v>
      </c>
      <c r="M104" s="1">
        <v>71.6</v>
      </c>
      <c r="N104" s="1">
        <v>80.6</v>
      </c>
      <c r="O104" s="1">
        <v>99.4</v>
      </c>
      <c r="P104" s="1">
        <f aca="true" t="shared" si="40" ref="P104:AQ104">P94</f>
        <v>131.2</v>
      </c>
      <c r="Q104" s="1">
        <f t="shared" si="40"/>
        <v>157.8</v>
      </c>
      <c r="R104" s="1">
        <f t="shared" si="40"/>
        <v>270.8</v>
      </c>
      <c r="S104" s="1">
        <f t="shared" si="40"/>
        <v>342.9</v>
      </c>
      <c r="T104" s="1">
        <f t="shared" si="40"/>
        <v>443.59999999999997</v>
      </c>
      <c r="U104" s="1">
        <f t="shared" si="40"/>
        <v>465.9</v>
      </c>
      <c r="V104" s="1">
        <f t="shared" si="40"/>
        <v>368.3</v>
      </c>
      <c r="W104" s="1">
        <f t="shared" si="40"/>
        <v>340.4</v>
      </c>
      <c r="X104" s="1">
        <f t="shared" si="40"/>
        <v>554.0999999999999</v>
      </c>
      <c r="Y104" s="1">
        <f t="shared" si="40"/>
        <v>613.9</v>
      </c>
      <c r="Z104" s="1">
        <f t="shared" si="40"/>
        <v>796.5</v>
      </c>
      <c r="AA104" s="1">
        <f t="shared" si="40"/>
        <v>898.7</v>
      </c>
      <c r="AB104" s="1">
        <f t="shared" si="40"/>
        <v>1033.7</v>
      </c>
      <c r="AC104" s="1">
        <f t="shared" si="40"/>
        <v>1024.6</v>
      </c>
      <c r="AD104" s="1">
        <f t="shared" si="40"/>
        <v>1030.1999999999998</v>
      </c>
      <c r="AE104" s="1">
        <f t="shared" si="40"/>
        <v>986.5</v>
      </c>
      <c r="AF104" s="1">
        <f t="shared" si="40"/>
        <v>1187.8</v>
      </c>
      <c r="AG104" s="1">
        <f t="shared" si="40"/>
        <v>1695</v>
      </c>
      <c r="AH104" s="1">
        <f t="shared" si="40"/>
        <v>2765.2</v>
      </c>
      <c r="AI104" s="1">
        <f t="shared" si="40"/>
        <v>3775.5</v>
      </c>
      <c r="AJ104" s="1">
        <f t="shared" si="40"/>
        <v>4061.2999999999997</v>
      </c>
      <c r="AK104" s="1">
        <f t="shared" si="40"/>
        <v>5490.799999999999</v>
      </c>
      <c r="AL104" s="1">
        <f t="shared" si="40"/>
        <v>7312.999999999999</v>
      </c>
      <c r="AM104" s="1">
        <f t="shared" si="40"/>
        <v>12560.2</v>
      </c>
      <c r="AN104" s="1">
        <f t="shared" si="40"/>
        <v>17344.6</v>
      </c>
      <c r="AO104" s="1">
        <f t="shared" si="40"/>
        <v>18686.6</v>
      </c>
      <c r="AP104" s="1">
        <f t="shared" si="40"/>
        <v>25831.3</v>
      </c>
      <c r="AQ104" s="1">
        <f t="shared" si="40"/>
        <v>32842.100000000006</v>
      </c>
      <c r="AR104" s="1">
        <f>AR94</f>
        <v>38796.7</v>
      </c>
      <c r="AS104" s="1">
        <f>AS94</f>
        <v>0</v>
      </c>
      <c r="AT104" s="1">
        <f>AT94</f>
        <v>0</v>
      </c>
      <c r="AU104" s="1">
        <f>AU94</f>
        <v>0</v>
      </c>
    </row>
    <row r="105" spans="1:47" s="1" customFormat="1" ht="12.75">
      <c r="A105" s="9" t="s">
        <v>62</v>
      </c>
      <c r="B105" s="1">
        <f aca="true" t="shared" si="41" ref="B105:Y105">B106+B107+B109+B110+B108</f>
        <v>6.5</v>
      </c>
      <c r="C105" s="1">
        <f t="shared" si="41"/>
        <v>9</v>
      </c>
      <c r="D105" s="1">
        <f t="shared" si="41"/>
        <v>11.9</v>
      </c>
      <c r="E105" s="1">
        <f t="shared" si="41"/>
        <v>11.6</v>
      </c>
      <c r="F105" s="1">
        <f t="shared" si="41"/>
        <v>11.6</v>
      </c>
      <c r="G105" s="1">
        <f t="shared" si="41"/>
        <v>9.2</v>
      </c>
      <c r="H105" s="1">
        <f t="shared" si="41"/>
        <v>10.799999999999997</v>
      </c>
      <c r="I105" s="1">
        <f t="shared" si="41"/>
        <v>17.199999999999996</v>
      </c>
      <c r="J105" s="1">
        <f t="shared" si="41"/>
        <v>11.600000000000001</v>
      </c>
      <c r="K105" s="1">
        <f t="shared" si="41"/>
        <v>12.9</v>
      </c>
      <c r="L105" s="1">
        <f t="shared" si="41"/>
        <v>12.799999999999999</v>
      </c>
      <c r="M105" s="1">
        <f t="shared" si="41"/>
        <v>15.6</v>
      </c>
      <c r="N105" s="1">
        <f t="shared" si="41"/>
        <v>22.4</v>
      </c>
      <c r="O105" s="1">
        <f t="shared" si="41"/>
        <v>24.5</v>
      </c>
      <c r="P105" s="1">
        <f t="shared" si="41"/>
        <v>22.299999999999997</v>
      </c>
      <c r="Q105" s="1">
        <f t="shared" si="41"/>
        <v>31.400000000000002</v>
      </c>
      <c r="R105" s="1">
        <f t="shared" si="41"/>
        <v>64.5</v>
      </c>
      <c r="S105" s="1">
        <f t="shared" si="41"/>
        <v>72</v>
      </c>
      <c r="T105" s="1">
        <f t="shared" si="41"/>
        <v>92.8</v>
      </c>
      <c r="U105" s="1">
        <f t="shared" si="41"/>
        <v>119.80000000000001</v>
      </c>
      <c r="V105" s="1">
        <f t="shared" si="41"/>
        <v>111.6</v>
      </c>
      <c r="W105" s="1">
        <f t="shared" si="41"/>
        <v>96.69999999999999</v>
      </c>
      <c r="X105" s="1">
        <f t="shared" si="41"/>
        <v>159.6</v>
      </c>
      <c r="Y105" s="1">
        <f t="shared" si="41"/>
        <v>198.5</v>
      </c>
      <c r="Z105" s="1">
        <f>Z106+Z107+Z109+Z110+Z108</f>
        <v>197.8</v>
      </c>
      <c r="AA105" s="1">
        <f aca="true" t="shared" si="42" ref="AA105:AS105">AA106+AA107+AA109+AA110+AA108</f>
        <v>442.9</v>
      </c>
      <c r="AB105" s="1">
        <f t="shared" si="42"/>
        <v>443.8</v>
      </c>
      <c r="AC105" s="1">
        <f t="shared" si="42"/>
        <v>265.9</v>
      </c>
      <c r="AD105" s="1">
        <f t="shared" si="42"/>
        <v>375.09999999999997</v>
      </c>
      <c r="AE105" s="1">
        <f t="shared" si="42"/>
        <v>431.09999999999997</v>
      </c>
      <c r="AF105" s="1">
        <f t="shared" si="42"/>
        <v>1216</v>
      </c>
      <c r="AG105" s="1">
        <f t="shared" si="42"/>
        <v>568.3</v>
      </c>
      <c r="AH105" s="1">
        <f t="shared" si="42"/>
        <v>624</v>
      </c>
      <c r="AI105" s="1">
        <f t="shared" si="42"/>
        <v>967.6999999999999</v>
      </c>
      <c r="AJ105" s="1">
        <f t="shared" si="42"/>
        <v>1506.2</v>
      </c>
      <c r="AK105" s="1">
        <f t="shared" si="42"/>
        <v>2274</v>
      </c>
      <c r="AL105" s="1">
        <f t="shared" si="42"/>
        <v>7596.2</v>
      </c>
      <c r="AM105" s="1">
        <f t="shared" si="42"/>
        <v>11816</v>
      </c>
      <c r="AN105" s="1">
        <f t="shared" si="42"/>
        <v>19015.5</v>
      </c>
      <c r="AO105" s="1">
        <f t="shared" si="42"/>
        <v>18341.4</v>
      </c>
      <c r="AP105" s="1">
        <f t="shared" si="42"/>
        <v>40529</v>
      </c>
      <c r="AQ105" s="1">
        <f t="shared" si="42"/>
        <v>51673.7</v>
      </c>
      <c r="AR105" s="1">
        <f t="shared" si="42"/>
        <v>64170.8</v>
      </c>
      <c r="AS105" s="1">
        <f t="shared" si="42"/>
        <v>0</v>
      </c>
      <c r="AT105" s="1">
        <f>AT106+AT107+AT109+AT110+AT108</f>
        <v>0</v>
      </c>
      <c r="AU105" s="1">
        <f>AU106+AU107+AU109+AU110+AU108</f>
        <v>0</v>
      </c>
    </row>
    <row r="106" spans="1:44" ht="12.75">
      <c r="A106" s="8" t="s">
        <v>98</v>
      </c>
      <c r="B106">
        <v>3.7</v>
      </c>
      <c r="C106">
        <v>4.1</v>
      </c>
      <c r="D106">
        <v>4.4</v>
      </c>
      <c r="E106">
        <v>4.6</v>
      </c>
      <c r="F106">
        <v>4.7</v>
      </c>
      <c r="G106">
        <v>4.9</v>
      </c>
      <c r="H106">
        <v>0</v>
      </c>
      <c r="I106">
        <v>0</v>
      </c>
      <c r="J106">
        <v>7.2</v>
      </c>
      <c r="K106">
        <v>7.3</v>
      </c>
      <c r="L106">
        <v>7.4</v>
      </c>
      <c r="M106">
        <v>8.7</v>
      </c>
      <c r="N106">
        <v>11.1</v>
      </c>
      <c r="O106">
        <v>10.6</v>
      </c>
      <c r="P106">
        <v>11.1</v>
      </c>
      <c r="Q106">
        <v>13.6</v>
      </c>
      <c r="R106">
        <v>30.8</v>
      </c>
      <c r="S106">
        <v>23.3</v>
      </c>
      <c r="T106">
        <v>34.9</v>
      </c>
      <c r="U106">
        <v>52</v>
      </c>
      <c r="V106">
        <v>35.8</v>
      </c>
      <c r="W106">
        <v>0.1</v>
      </c>
      <c r="X106">
        <v>56.2</v>
      </c>
      <c r="Y106">
        <v>61.2</v>
      </c>
      <c r="Z106">
        <v>35.1</v>
      </c>
      <c r="AA106">
        <v>34.3</v>
      </c>
      <c r="AB106">
        <v>35.6</v>
      </c>
      <c r="AC106">
        <v>22.4</v>
      </c>
      <c r="AD106">
        <v>15.6</v>
      </c>
      <c r="AE106">
        <v>21.2</v>
      </c>
      <c r="AF106">
        <v>25.6</v>
      </c>
      <c r="AG106">
        <v>29.9</v>
      </c>
      <c r="AH106">
        <v>34.7</v>
      </c>
      <c r="AI106">
        <v>73.4</v>
      </c>
      <c r="AJ106">
        <v>152.5</v>
      </c>
      <c r="AK106">
        <v>137.1</v>
      </c>
      <c r="AL106">
        <v>161.4</v>
      </c>
      <c r="AM106">
        <v>195.2</v>
      </c>
      <c r="AN106">
        <v>218.1</v>
      </c>
      <c r="AO106">
        <v>1500.3</v>
      </c>
      <c r="AP106">
        <v>1417.7</v>
      </c>
      <c r="AQ106">
        <v>439.9</v>
      </c>
      <c r="AR106">
        <v>621.1</v>
      </c>
    </row>
    <row r="107" spans="1:44" ht="12.75">
      <c r="A107" s="8" t="s">
        <v>99</v>
      </c>
      <c r="B107">
        <v>0</v>
      </c>
      <c r="F107">
        <v>0</v>
      </c>
      <c r="G107">
        <v>0</v>
      </c>
      <c r="H107">
        <v>0</v>
      </c>
      <c r="I107">
        <v>0</v>
      </c>
      <c r="J107">
        <v>2.1</v>
      </c>
      <c r="K107">
        <v>2.6</v>
      </c>
      <c r="L107">
        <v>2.8</v>
      </c>
      <c r="M107">
        <v>3.3</v>
      </c>
      <c r="N107">
        <v>5.2</v>
      </c>
      <c r="O107">
        <v>5.3</v>
      </c>
      <c r="P107">
        <v>6.6</v>
      </c>
      <c r="Q107">
        <v>8.9</v>
      </c>
      <c r="R107">
        <v>12.3</v>
      </c>
      <c r="S107">
        <v>17.4</v>
      </c>
      <c r="T107">
        <v>20</v>
      </c>
      <c r="U107">
        <v>15.5</v>
      </c>
      <c r="V107">
        <v>21.9</v>
      </c>
      <c r="W107">
        <v>29.2</v>
      </c>
      <c r="X107">
        <v>37</v>
      </c>
      <c r="Y107">
        <v>72</v>
      </c>
      <c r="Z107">
        <f>81.1-5.7</f>
        <v>75.39999999999999</v>
      </c>
      <c r="AA107">
        <v>277.9</v>
      </c>
      <c r="AB107">
        <v>131.7</v>
      </c>
      <c r="AC107">
        <v>128.2</v>
      </c>
      <c r="AD107">
        <v>156.6</v>
      </c>
      <c r="AE107">
        <v>180.5</v>
      </c>
      <c r="AF107">
        <v>296.7</v>
      </c>
      <c r="AG107">
        <v>331.4</v>
      </c>
      <c r="AH107">
        <v>357.4</v>
      </c>
      <c r="AI107">
        <v>437.9</v>
      </c>
      <c r="AJ107">
        <v>540.8</v>
      </c>
      <c r="AK107">
        <v>830.9</v>
      </c>
      <c r="AL107">
        <v>1346.7</v>
      </c>
      <c r="AM107">
        <v>2131.6</v>
      </c>
      <c r="AN107">
        <v>2490.8</v>
      </c>
      <c r="AO107">
        <v>3283.1</v>
      </c>
      <c r="AP107">
        <v>4982.3</v>
      </c>
      <c r="AQ107">
        <v>6615.3</v>
      </c>
      <c r="AR107">
        <v>5691.8</v>
      </c>
    </row>
    <row r="108" spans="1:44" ht="12.75">
      <c r="A108" s="8" t="s">
        <v>140</v>
      </c>
      <c r="F108" s="44">
        <v>0</v>
      </c>
      <c r="G108" s="44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5.7</v>
      </c>
      <c r="AA108">
        <v>34.5</v>
      </c>
      <c r="AB108">
        <v>88.7</v>
      </c>
      <c r="AC108">
        <v>17.9</v>
      </c>
      <c r="AD108">
        <v>87</v>
      </c>
      <c r="AE108">
        <v>141.5</v>
      </c>
      <c r="AF108">
        <v>744.3</v>
      </c>
      <c r="AG108">
        <v>5.9</v>
      </c>
      <c r="AH108">
        <v>5.1</v>
      </c>
      <c r="AI108">
        <v>4.6</v>
      </c>
      <c r="AJ108">
        <v>0</v>
      </c>
      <c r="AK108">
        <v>0</v>
      </c>
      <c r="AL108">
        <v>2765</v>
      </c>
      <c r="AM108">
        <v>5407.3</v>
      </c>
      <c r="AN108">
        <v>10428.7</v>
      </c>
      <c r="AO108">
        <v>6021.9</v>
      </c>
      <c r="AP108">
        <v>18532.2</v>
      </c>
      <c r="AQ108">
        <v>39323.5</v>
      </c>
      <c r="AR108">
        <v>52445.1</v>
      </c>
    </row>
    <row r="109" spans="1:44" ht="12.75">
      <c r="A109" s="8" t="s">
        <v>100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2.6</v>
      </c>
      <c r="R109">
        <v>11</v>
      </c>
      <c r="S109">
        <v>18.2</v>
      </c>
      <c r="T109">
        <v>20.4</v>
      </c>
      <c r="U109">
        <v>21.2</v>
      </c>
      <c r="V109">
        <v>25.6</v>
      </c>
      <c r="W109">
        <v>25.5</v>
      </c>
      <c r="X109">
        <v>11.6</v>
      </c>
      <c r="Y109">
        <v>9</v>
      </c>
      <c r="Z109">
        <v>9.4</v>
      </c>
      <c r="AA109">
        <v>5.6</v>
      </c>
      <c r="AB109">
        <v>5.4</v>
      </c>
      <c r="AC109">
        <v>4.5</v>
      </c>
      <c r="AD109">
        <v>5.2</v>
      </c>
      <c r="AE109">
        <v>3.7</v>
      </c>
      <c r="AF109">
        <v>4.1</v>
      </c>
      <c r="AG109">
        <v>3.7</v>
      </c>
      <c r="AH109">
        <v>3.7</v>
      </c>
      <c r="AI109">
        <v>47.5</v>
      </c>
      <c r="AJ109">
        <v>28.7</v>
      </c>
      <c r="AK109">
        <v>29</v>
      </c>
      <c r="AL109">
        <v>117.1</v>
      </c>
      <c r="AM109">
        <v>55.6</v>
      </c>
      <c r="AN109">
        <v>55</v>
      </c>
      <c r="AO109">
        <v>1.8</v>
      </c>
      <c r="AP109">
        <v>0.3</v>
      </c>
      <c r="AQ109">
        <v>0.3</v>
      </c>
      <c r="AR109">
        <v>0.3</v>
      </c>
    </row>
    <row r="110" spans="1:44" ht="12.75">
      <c r="A110" s="8" t="s">
        <v>101</v>
      </c>
      <c r="B110">
        <v>2.8</v>
      </c>
      <c r="C110">
        <v>4.9</v>
      </c>
      <c r="D110">
        <v>7.5</v>
      </c>
      <c r="E110">
        <v>7</v>
      </c>
      <c r="F110">
        <f>7.1-0.2</f>
        <v>6.8999999999999995</v>
      </c>
      <c r="G110">
        <f>3.6+0.7</f>
        <v>4.3</v>
      </c>
      <c r="H110">
        <f>41.3-30.5</f>
        <v>10.799999999999997</v>
      </c>
      <c r="I110">
        <f>51.8-34.6</f>
        <v>17.199999999999996</v>
      </c>
      <c r="J110">
        <f>0.7+1.6</f>
        <v>2.3</v>
      </c>
      <c r="K110">
        <f>0.8+2.2</f>
        <v>3</v>
      </c>
      <c r="L110">
        <f>1.6+1</f>
        <v>2.6</v>
      </c>
      <c r="M110">
        <f>0.8+2.8</f>
        <v>3.5999999999999996</v>
      </c>
      <c r="N110">
        <v>6.1</v>
      </c>
      <c r="O110">
        <v>8.6</v>
      </c>
      <c r="P110">
        <v>4.6</v>
      </c>
      <c r="Q110">
        <v>6.3</v>
      </c>
      <c r="R110">
        <v>10.4</v>
      </c>
      <c r="S110">
        <v>13.1</v>
      </c>
      <c r="T110">
        <v>17.5</v>
      </c>
      <c r="U110">
        <v>31.1</v>
      </c>
      <c r="V110">
        <v>28.3</v>
      </c>
      <c r="W110">
        <v>41.9</v>
      </c>
      <c r="X110">
        <v>54.8</v>
      </c>
      <c r="Y110">
        <v>56.3</v>
      </c>
      <c r="Z110">
        <v>72.2</v>
      </c>
      <c r="AA110">
        <v>90.6</v>
      </c>
      <c r="AB110">
        <v>182.4</v>
      </c>
      <c r="AC110">
        <v>92.9</v>
      </c>
      <c r="AD110">
        <v>110.7</v>
      </c>
      <c r="AE110">
        <v>84.2</v>
      </c>
      <c r="AF110">
        <v>145.3</v>
      </c>
      <c r="AG110">
        <v>197.4</v>
      </c>
      <c r="AH110">
        <v>223.1</v>
      </c>
      <c r="AI110">
        <v>404.3</v>
      </c>
      <c r="AJ110">
        <v>784.2</v>
      </c>
      <c r="AK110">
        <v>1277</v>
      </c>
      <c r="AL110">
        <v>3206</v>
      </c>
      <c r="AM110">
        <v>4026.3</v>
      </c>
      <c r="AN110">
        <v>5822.9</v>
      </c>
      <c r="AO110">
        <v>7534.3</v>
      </c>
      <c r="AP110">
        <v>15596.5</v>
      </c>
      <c r="AQ110">
        <v>5294.7</v>
      </c>
      <c r="AR110">
        <v>5412.5</v>
      </c>
    </row>
    <row r="111" ht="12.75">
      <c r="A111" s="8"/>
    </row>
    <row r="112" spans="1:48" s="29" customFormat="1" ht="12" customHeight="1">
      <c r="A112" s="25" t="s">
        <v>102</v>
      </c>
      <c r="B112" s="52">
        <v>30.5</v>
      </c>
      <c r="C112" s="52">
        <v>37.1</v>
      </c>
      <c r="D112" s="52">
        <v>38.9</v>
      </c>
      <c r="E112" s="52">
        <v>41.6</v>
      </c>
      <c r="F112" s="29">
        <f aca="true" t="shared" si="43" ref="F112:K112">F113+F120+F123+F124+F125</f>
        <v>66.9</v>
      </c>
      <c r="G112" s="29">
        <f t="shared" si="43"/>
        <v>80.2</v>
      </c>
      <c r="H112" s="29">
        <f t="shared" si="43"/>
        <v>98.7</v>
      </c>
      <c r="I112" s="29">
        <f t="shared" si="43"/>
        <v>108.4</v>
      </c>
      <c r="J112" s="29">
        <f t="shared" si="43"/>
        <v>136.1</v>
      </c>
      <c r="K112" s="29">
        <f t="shared" si="43"/>
        <v>168.7</v>
      </c>
      <c r="L112" s="29">
        <f aca="true" t="shared" si="44" ref="L112:W112">L113+L120+L123+L124+L125</f>
        <v>197.2</v>
      </c>
      <c r="M112" s="29">
        <f t="shared" si="44"/>
        <v>231.79999999999998</v>
      </c>
      <c r="N112" s="29">
        <f t="shared" si="44"/>
        <v>320.4</v>
      </c>
      <c r="O112" s="29">
        <f t="shared" si="44"/>
        <v>359.1</v>
      </c>
      <c r="P112" s="29">
        <f t="shared" si="44"/>
        <v>532.1999999999999</v>
      </c>
      <c r="Q112" s="29">
        <f t="shared" si="44"/>
        <v>1511.3</v>
      </c>
      <c r="R112" s="29">
        <f t="shared" si="44"/>
        <v>1775.8999999999996</v>
      </c>
      <c r="S112" s="29">
        <f t="shared" si="44"/>
        <v>2006.2</v>
      </c>
      <c r="T112" s="29">
        <f t="shared" si="44"/>
        <v>2492.2</v>
      </c>
      <c r="U112" s="29">
        <f t="shared" si="44"/>
        <v>2207.8</v>
      </c>
      <c r="V112" s="29">
        <f t="shared" si="44"/>
        <v>2227.9</v>
      </c>
      <c r="W112" s="29">
        <f t="shared" si="44"/>
        <v>2298.4</v>
      </c>
      <c r="X112" s="29">
        <f aca="true" t="shared" si="45" ref="X112:AN112">X113+X120</f>
        <v>2707.1</v>
      </c>
      <c r="Y112" s="29">
        <f t="shared" si="45"/>
        <v>3167.3999999999996</v>
      </c>
      <c r="Z112" s="29">
        <f t="shared" si="45"/>
        <v>3672.2999999999997</v>
      </c>
      <c r="AA112" s="29">
        <f t="shared" si="45"/>
        <v>3353.5</v>
      </c>
      <c r="AB112" s="29">
        <f t="shared" si="45"/>
        <v>3313.2</v>
      </c>
      <c r="AC112" s="29">
        <f t="shared" si="45"/>
        <v>3156.8</v>
      </c>
      <c r="AD112" s="29">
        <f t="shared" si="45"/>
        <v>3640.5999999999995</v>
      </c>
      <c r="AE112" s="29">
        <f t="shared" si="45"/>
        <v>4210.6</v>
      </c>
      <c r="AF112" s="29">
        <f t="shared" si="45"/>
        <v>4316.7</v>
      </c>
      <c r="AG112" s="29">
        <f t="shared" si="45"/>
        <v>6051.0999999999985</v>
      </c>
      <c r="AH112" s="29">
        <f t="shared" si="45"/>
        <v>8090.799999999999</v>
      </c>
      <c r="AI112" s="29">
        <f t="shared" si="45"/>
        <v>10756.800000000001</v>
      </c>
      <c r="AJ112" s="29">
        <f t="shared" si="45"/>
        <v>20886.9</v>
      </c>
      <c r="AK112" s="29">
        <f t="shared" si="45"/>
        <v>28912.399999999998</v>
      </c>
      <c r="AL112" s="29">
        <f t="shared" si="45"/>
        <v>41330.899999999994</v>
      </c>
      <c r="AM112" s="29">
        <f t="shared" si="45"/>
        <v>56783.100000000006</v>
      </c>
      <c r="AN112" s="29">
        <f t="shared" si="45"/>
        <v>65438</v>
      </c>
      <c r="AO112" s="29">
        <f aca="true" t="shared" si="46" ref="AO112:AU112">AO113+AO120</f>
        <v>70970.3</v>
      </c>
      <c r="AP112" s="29">
        <f t="shared" si="46"/>
        <v>93242.9</v>
      </c>
      <c r="AQ112" s="72">
        <f t="shared" si="46"/>
        <v>109407.09999999999</v>
      </c>
      <c r="AR112" s="29">
        <f t="shared" si="46"/>
        <v>128859.6</v>
      </c>
      <c r="AS112" s="29" t="e">
        <f t="shared" si="46"/>
        <v>#VALUE!</v>
      </c>
      <c r="AT112" s="29" t="e">
        <f t="shared" si="46"/>
        <v>#VALUE!</v>
      </c>
      <c r="AU112" s="29" t="e">
        <f t="shared" si="46"/>
        <v>#VALUE!</v>
      </c>
      <c r="AV112" s="58" t="s">
        <v>10</v>
      </c>
    </row>
    <row r="113" spans="1:50" s="28" customFormat="1" ht="12.75">
      <c r="A113" s="27" t="s">
        <v>103</v>
      </c>
      <c r="B113" s="28">
        <f aca="true" t="shared" si="47" ref="B113:N113">B114+B116+B115+B117</f>
        <v>0.371</v>
      </c>
      <c r="C113" s="28">
        <f t="shared" si="47"/>
        <v>0.562</v>
      </c>
      <c r="D113" s="28">
        <f t="shared" si="47"/>
        <v>0.443</v>
      </c>
      <c r="E113" s="28">
        <f t="shared" si="47"/>
        <v>0.46</v>
      </c>
      <c r="F113" s="60">
        <f t="shared" si="47"/>
        <v>48.3</v>
      </c>
      <c r="G113" s="60">
        <f t="shared" si="47"/>
        <v>53.50000000000001</v>
      </c>
      <c r="H113" s="28">
        <f aca="true" t="shared" si="48" ref="H113:M113">SUM(H114:H117)</f>
        <v>61.7</v>
      </c>
      <c r="I113" s="28">
        <f t="shared" si="48"/>
        <v>70.5</v>
      </c>
      <c r="J113" s="28">
        <f t="shared" si="48"/>
        <v>73.2</v>
      </c>
      <c r="K113" s="28">
        <f t="shared" si="48"/>
        <v>88.7</v>
      </c>
      <c r="L113" s="28">
        <f t="shared" si="48"/>
        <v>103</v>
      </c>
      <c r="M113" s="28">
        <f t="shared" si="48"/>
        <v>121.79999999999998</v>
      </c>
      <c r="N113" s="28">
        <f t="shared" si="47"/>
        <v>199.4</v>
      </c>
      <c r="O113" s="34">
        <v>227.3</v>
      </c>
      <c r="P113" s="34">
        <v>370.2</v>
      </c>
      <c r="Q113" s="34">
        <v>825.8</v>
      </c>
      <c r="R113" s="34">
        <v>969.4</v>
      </c>
      <c r="S113" s="28">
        <f aca="true" t="shared" si="49" ref="S113:AH113">S114+S116+S115+S117</f>
        <v>1083.8</v>
      </c>
      <c r="T113" s="28">
        <f t="shared" si="49"/>
        <v>1248.1</v>
      </c>
      <c r="U113" s="28">
        <f t="shared" si="49"/>
        <v>1387.1000000000001</v>
      </c>
      <c r="V113" s="28">
        <f t="shared" si="49"/>
        <v>1552</v>
      </c>
      <c r="W113" s="28">
        <f t="shared" si="49"/>
        <v>1727.8</v>
      </c>
      <c r="X113" s="28">
        <f t="shared" si="49"/>
        <v>2032.3999999999999</v>
      </c>
      <c r="Y113" s="28">
        <f t="shared" si="49"/>
        <v>2252.6</v>
      </c>
      <c r="Z113" s="28">
        <f t="shared" si="49"/>
        <v>2523.7</v>
      </c>
      <c r="AA113" s="28">
        <f t="shared" si="49"/>
        <v>2475.6</v>
      </c>
      <c r="AB113" s="28">
        <f t="shared" si="49"/>
        <v>2548.1</v>
      </c>
      <c r="AC113" s="28">
        <f t="shared" si="49"/>
        <v>2410.3</v>
      </c>
      <c r="AD113" s="28">
        <f t="shared" si="49"/>
        <v>2911.3999999999996</v>
      </c>
      <c r="AE113" s="28">
        <f t="shared" si="49"/>
        <v>3394.2</v>
      </c>
      <c r="AF113" s="28">
        <f t="shared" si="49"/>
        <v>3385.2</v>
      </c>
      <c r="AG113" s="28">
        <f t="shared" si="49"/>
        <v>4284.799999999999</v>
      </c>
      <c r="AH113" s="28">
        <f t="shared" si="49"/>
        <v>5563.8</v>
      </c>
      <c r="AI113" s="28">
        <f>AI114+AI116+AI115+AI117</f>
        <v>7808.000000000001</v>
      </c>
      <c r="AJ113" s="28">
        <f>AJ114+AJ116+AJ115+AJ117</f>
        <v>13654.7</v>
      </c>
      <c r="AK113" s="28">
        <f>AK114+AK116+AK115+AK117</f>
        <v>19841.1</v>
      </c>
      <c r="AL113" s="28">
        <f aca="true" t="shared" si="50" ref="AL113:AS113">AL114+AL116+AL115+AL117+AL118</f>
        <v>28448.1</v>
      </c>
      <c r="AM113" s="28">
        <f t="shared" si="50"/>
        <v>37571.200000000004</v>
      </c>
      <c r="AN113" s="28">
        <f t="shared" si="50"/>
        <v>44966.9</v>
      </c>
      <c r="AO113" s="28">
        <f t="shared" si="50"/>
        <v>53545.6</v>
      </c>
      <c r="AP113" s="28">
        <f t="shared" si="50"/>
        <v>68219.3</v>
      </c>
      <c r="AQ113" s="73">
        <f t="shared" si="50"/>
        <v>85847.29999999999</v>
      </c>
      <c r="AR113" s="28">
        <f t="shared" si="50"/>
        <v>104772</v>
      </c>
      <c r="AS113" s="28">
        <f t="shared" si="50"/>
        <v>0</v>
      </c>
      <c r="AT113" s="28">
        <f>AT114+AT116+AT115+AT117+AT118</f>
        <v>0</v>
      </c>
      <c r="AU113" s="28">
        <f>AU114+AU116+AU115+AU117+AU118</f>
        <v>0</v>
      </c>
      <c r="AV113" s="58" t="s">
        <v>10</v>
      </c>
      <c r="AX113" s="61" t="s">
        <v>104</v>
      </c>
    </row>
    <row r="114" spans="1:48" ht="12.75">
      <c r="A114" s="8" t="s">
        <v>105</v>
      </c>
      <c r="B114" s="54">
        <v>0.371</v>
      </c>
      <c r="C114" s="54">
        <v>0.562</v>
      </c>
      <c r="D114" s="54">
        <v>0.443</v>
      </c>
      <c r="E114" s="54">
        <v>0.46</v>
      </c>
      <c r="F114">
        <f>45.4+0.5</f>
        <v>45.9</v>
      </c>
      <c r="G114">
        <f>(49.7+0.6)+0.6</f>
        <v>50.900000000000006</v>
      </c>
      <c r="H114">
        <v>61.7</v>
      </c>
      <c r="I114">
        <v>70.5</v>
      </c>
      <c r="J114">
        <f>5.9+76.8-9.5</f>
        <v>73.2</v>
      </c>
      <c r="K114">
        <f>6.1+92.7-10.1</f>
        <v>88.7</v>
      </c>
      <c r="L114">
        <f>7+107.4-11.4</f>
        <v>103</v>
      </c>
      <c r="M114">
        <f>9+126.2-13.4</f>
        <v>121.79999999999998</v>
      </c>
      <c r="N114">
        <v>168.4</v>
      </c>
      <c r="O114" s="33" t="s">
        <v>4</v>
      </c>
      <c r="P114" s="33" t="s">
        <v>4</v>
      </c>
      <c r="Q114" s="33" t="s">
        <v>4</v>
      </c>
      <c r="R114" s="33" t="s">
        <v>4</v>
      </c>
      <c r="S114">
        <v>1047.3</v>
      </c>
      <c r="T114">
        <v>1219.3</v>
      </c>
      <c r="U114">
        <v>1366.4</v>
      </c>
      <c r="V114">
        <v>1520.2</v>
      </c>
      <c r="W114">
        <v>1690.7</v>
      </c>
      <c r="X114">
        <v>1606.3</v>
      </c>
      <c r="Y114">
        <v>1760.9</v>
      </c>
      <c r="Z114">
        <v>1984.8</v>
      </c>
      <c r="AA114">
        <v>2046.8</v>
      </c>
      <c r="AB114">
        <v>2030.4</v>
      </c>
      <c r="AC114">
        <v>1955.3</v>
      </c>
      <c r="AD114">
        <v>2202.6</v>
      </c>
      <c r="AE114">
        <v>2528.1</v>
      </c>
      <c r="AF114">
        <v>2881.6</v>
      </c>
      <c r="AG114">
        <v>3868.2</v>
      </c>
      <c r="AH114">
        <v>5200.6</v>
      </c>
      <c r="AI114">
        <v>7380.6</v>
      </c>
      <c r="AJ114">
        <v>13219.5</v>
      </c>
      <c r="AK114">
        <v>18248.3</v>
      </c>
      <c r="AL114">
        <v>23622.1</v>
      </c>
      <c r="AM114">
        <v>34341.3</v>
      </c>
      <c r="AN114">
        <v>42178.9</v>
      </c>
      <c r="AO114">
        <v>51014.8</v>
      </c>
      <c r="AP114">
        <v>65131</v>
      </c>
      <c r="AQ114" s="74">
        <v>82082.9</v>
      </c>
      <c r="AR114">
        <v>100274</v>
      </c>
      <c r="AV114" s="50" t="s">
        <v>106</v>
      </c>
    </row>
    <row r="115" spans="1:44" ht="12.75">
      <c r="A115" s="8" t="s">
        <v>107</v>
      </c>
      <c r="F115">
        <v>0.4</v>
      </c>
      <c r="G115">
        <v>0.4</v>
      </c>
      <c r="H115" s="33" t="s">
        <v>4</v>
      </c>
      <c r="I115" s="33" t="s">
        <v>4</v>
      </c>
      <c r="J115" s="33" t="s">
        <v>4</v>
      </c>
      <c r="K115" s="33" t="s">
        <v>4</v>
      </c>
      <c r="L115" s="33" t="s">
        <v>4</v>
      </c>
      <c r="M115" s="33" t="s">
        <v>4</v>
      </c>
      <c r="N115">
        <v>17.7</v>
      </c>
      <c r="O115" s="33" t="s">
        <v>4</v>
      </c>
      <c r="P115" s="33" t="s">
        <v>4</v>
      </c>
      <c r="Q115" s="33" t="s">
        <v>4</v>
      </c>
      <c r="R115" s="33" t="s">
        <v>4</v>
      </c>
      <c r="S115">
        <v>18.9</v>
      </c>
      <c r="T115">
        <v>5.1</v>
      </c>
      <c r="U115">
        <v>2.3</v>
      </c>
      <c r="V115">
        <v>0</v>
      </c>
      <c r="W115">
        <v>0</v>
      </c>
      <c r="X115">
        <v>0</v>
      </c>
      <c r="Y115">
        <v>8.8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 s="74">
        <v>0</v>
      </c>
      <c r="AR115">
        <v>0</v>
      </c>
    </row>
    <row r="116" spans="1:44" ht="12.75">
      <c r="A116" s="8" t="s">
        <v>108</v>
      </c>
      <c r="F116">
        <v>2</v>
      </c>
      <c r="G116">
        <v>2.2</v>
      </c>
      <c r="H116" s="33" t="s">
        <v>4</v>
      </c>
      <c r="I116" s="33" t="s">
        <v>4</v>
      </c>
      <c r="J116" s="33" t="s">
        <v>4</v>
      </c>
      <c r="K116" s="33" t="s">
        <v>4</v>
      </c>
      <c r="L116" s="33" t="s">
        <v>4</v>
      </c>
      <c r="M116" s="33" t="s">
        <v>4</v>
      </c>
      <c r="N116">
        <v>13.3</v>
      </c>
      <c r="O116" s="33" t="s">
        <v>4</v>
      </c>
      <c r="P116" s="33" t="s">
        <v>4</v>
      </c>
      <c r="Q116" s="33" t="s">
        <v>4</v>
      </c>
      <c r="R116" s="33" t="s">
        <v>4</v>
      </c>
      <c r="S116">
        <v>17.6</v>
      </c>
      <c r="T116">
        <v>23.7</v>
      </c>
      <c r="U116">
        <v>18.4</v>
      </c>
      <c r="V116">
        <v>31.8</v>
      </c>
      <c r="W116">
        <v>37.1</v>
      </c>
      <c r="X116">
        <v>45.1</v>
      </c>
      <c r="Y116">
        <v>37.7</v>
      </c>
      <c r="Z116">
        <v>35.9</v>
      </c>
      <c r="AA116">
        <v>29.6</v>
      </c>
      <c r="AB116">
        <v>30.5</v>
      </c>
      <c r="AC116">
        <v>21.7</v>
      </c>
      <c r="AD116">
        <v>11</v>
      </c>
      <c r="AE116">
        <v>7.2</v>
      </c>
      <c r="AF116">
        <v>4.1</v>
      </c>
      <c r="AG116">
        <v>5.2</v>
      </c>
      <c r="AH116">
        <v>2.4</v>
      </c>
      <c r="AI116">
        <v>1.8</v>
      </c>
      <c r="AJ116">
        <v>2</v>
      </c>
      <c r="AK116">
        <v>3.7</v>
      </c>
      <c r="AL116">
        <v>3.7</v>
      </c>
      <c r="AM116">
        <v>0.1</v>
      </c>
      <c r="AN116">
        <v>4</v>
      </c>
      <c r="AO116">
        <v>28.1</v>
      </c>
      <c r="AP116">
        <v>52</v>
      </c>
      <c r="AQ116" s="74">
        <v>0</v>
      </c>
      <c r="AR116">
        <v>0</v>
      </c>
    </row>
    <row r="117" spans="1:44" ht="12.75">
      <c r="A117" s="8" t="s">
        <v>109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 s="33" t="s">
        <v>4</v>
      </c>
      <c r="P117" s="33" t="s">
        <v>4</v>
      </c>
      <c r="Q117" s="33" t="s">
        <v>4</v>
      </c>
      <c r="R117" s="33" t="s">
        <v>4</v>
      </c>
      <c r="T117">
        <v>0</v>
      </c>
      <c r="U117">
        <v>0</v>
      </c>
      <c r="V117">
        <v>0</v>
      </c>
      <c r="W117">
        <v>0</v>
      </c>
      <c r="X117">
        <v>381</v>
      </c>
      <c r="Y117">
        <v>445.2</v>
      </c>
      <c r="Z117">
        <v>503</v>
      </c>
      <c r="AA117">
        <v>399.2</v>
      </c>
      <c r="AB117">
        <v>487.2</v>
      </c>
      <c r="AC117">
        <v>433.3</v>
      </c>
      <c r="AD117">
        <v>697.8</v>
      </c>
      <c r="AE117">
        <v>858.9</v>
      </c>
      <c r="AF117">
        <v>499.5</v>
      </c>
      <c r="AG117">
        <v>411.4</v>
      </c>
      <c r="AH117">
        <v>360.8</v>
      </c>
      <c r="AI117">
        <v>425.6</v>
      </c>
      <c r="AJ117">
        <v>433.2</v>
      </c>
      <c r="AK117">
        <v>1589.1</v>
      </c>
      <c r="AL117">
        <v>2093</v>
      </c>
      <c r="AM117">
        <v>2292.5</v>
      </c>
      <c r="AN117">
        <v>2315.4</v>
      </c>
      <c r="AO117">
        <v>2502.7</v>
      </c>
      <c r="AP117">
        <v>2856.3</v>
      </c>
      <c r="AQ117" s="74">
        <v>3764.4</v>
      </c>
      <c r="AR117">
        <v>4498</v>
      </c>
    </row>
    <row r="118" spans="1:44" ht="12.75">
      <c r="A118" s="11" t="s">
        <v>110</v>
      </c>
      <c r="O118" s="33"/>
      <c r="P118" s="33"/>
      <c r="Q118" s="33"/>
      <c r="R118" s="33"/>
      <c r="AL118">
        <v>2729.3</v>
      </c>
      <c r="AM118">
        <v>937.3</v>
      </c>
      <c r="AN118">
        <v>468.6</v>
      </c>
      <c r="AO118">
        <v>0</v>
      </c>
      <c r="AP118">
        <v>180</v>
      </c>
      <c r="AQ118" s="74">
        <v>0</v>
      </c>
      <c r="AR118">
        <v>0</v>
      </c>
    </row>
    <row r="119" spans="1:43" ht="12.75">
      <c r="A119" s="8"/>
      <c r="AQ119" s="74"/>
    </row>
    <row r="120" spans="1:47" s="1" customFormat="1" ht="12.75">
      <c r="A120" s="9" t="s">
        <v>111</v>
      </c>
      <c r="B120" s="1">
        <v>11.658999999999999</v>
      </c>
      <c r="C120" s="1">
        <v>12.508</v>
      </c>
      <c r="D120" s="1">
        <v>12.726999999999999</v>
      </c>
      <c r="E120" s="1">
        <v>13.409</v>
      </c>
      <c r="F120" s="1">
        <v>18.6</v>
      </c>
      <c r="G120" s="1">
        <v>26.7</v>
      </c>
      <c r="H120" s="1">
        <v>37</v>
      </c>
      <c r="I120" s="1">
        <v>37.9</v>
      </c>
      <c r="J120" s="1">
        <f>54+8.9</f>
        <v>62.9</v>
      </c>
      <c r="K120" s="1">
        <f>69.9+10.1</f>
        <v>80</v>
      </c>
      <c r="L120" s="1">
        <f>82.8+11.4</f>
        <v>94.2</v>
      </c>
      <c r="M120" s="1">
        <f>96.6+13.4</f>
        <v>110</v>
      </c>
      <c r="N120" s="1">
        <v>116</v>
      </c>
      <c r="O120" s="1">
        <v>131.8</v>
      </c>
      <c r="P120" s="1">
        <v>161.2</v>
      </c>
      <c r="Q120" s="1">
        <v>348.7</v>
      </c>
      <c r="R120" s="1">
        <v>526.8</v>
      </c>
      <c r="S120" s="1">
        <v>591.6</v>
      </c>
      <c r="T120" s="1">
        <v>926.8</v>
      </c>
      <c r="U120" s="1">
        <v>657.1</v>
      </c>
      <c r="V120" s="1">
        <f>V45+109.8</f>
        <v>633.1</v>
      </c>
      <c r="W120" s="1">
        <f aca="true" t="shared" si="51" ref="W120:AQ120">W45</f>
        <v>568.1</v>
      </c>
      <c r="X120" s="1">
        <f t="shared" si="51"/>
        <v>674.7</v>
      </c>
      <c r="Y120" s="1">
        <f t="shared" si="51"/>
        <v>914.8</v>
      </c>
      <c r="Z120" s="1">
        <f t="shared" si="51"/>
        <v>1148.6</v>
      </c>
      <c r="AA120" s="1">
        <f t="shared" si="51"/>
        <v>877.9000000000001</v>
      </c>
      <c r="AB120" s="1">
        <f t="shared" si="51"/>
        <v>765.1000000000001</v>
      </c>
      <c r="AC120" s="1">
        <f t="shared" si="51"/>
        <v>746.5000000000001</v>
      </c>
      <c r="AD120" s="1">
        <f t="shared" si="51"/>
        <v>729.2</v>
      </c>
      <c r="AE120" s="1">
        <f t="shared" si="51"/>
        <v>816.4000000000001</v>
      </c>
      <c r="AF120" s="1">
        <f t="shared" si="51"/>
        <v>931.5</v>
      </c>
      <c r="AG120" s="1">
        <f t="shared" si="51"/>
        <v>1766.2999999999997</v>
      </c>
      <c r="AH120" s="1">
        <f t="shared" si="51"/>
        <v>2526.9999999999995</v>
      </c>
      <c r="AI120" s="1">
        <f t="shared" si="51"/>
        <v>2948.7999999999997</v>
      </c>
      <c r="AJ120" s="1">
        <f t="shared" si="51"/>
        <v>7232.2</v>
      </c>
      <c r="AK120" s="1">
        <f t="shared" si="51"/>
        <v>9071.3</v>
      </c>
      <c r="AL120" s="1">
        <f t="shared" si="51"/>
        <v>12882.8</v>
      </c>
      <c r="AM120" s="1">
        <f t="shared" si="51"/>
        <v>19211.9</v>
      </c>
      <c r="AN120" s="1">
        <f t="shared" si="51"/>
        <v>20471.1</v>
      </c>
      <c r="AO120" s="1">
        <f t="shared" si="51"/>
        <v>17424.7</v>
      </c>
      <c r="AP120" s="1">
        <f t="shared" si="51"/>
        <v>25023.599999999995</v>
      </c>
      <c r="AQ120" s="75">
        <f t="shared" si="51"/>
        <v>23559.8</v>
      </c>
      <c r="AR120" s="1">
        <v>24087.6</v>
      </c>
      <c r="AS120" s="1" t="e">
        <f>AS45</f>
        <v>#VALUE!</v>
      </c>
      <c r="AT120" s="1" t="e">
        <f>AT45</f>
        <v>#VALUE!</v>
      </c>
      <c r="AU120" s="1" t="e">
        <f>AU45</f>
        <v>#VALUE!</v>
      </c>
    </row>
    <row r="121" spans="1:44" ht="12.75">
      <c r="A121" s="8" t="s">
        <v>109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70.1</v>
      </c>
      <c r="Z121">
        <v>91.1</v>
      </c>
      <c r="AA121">
        <v>50.3</v>
      </c>
      <c r="AB121">
        <v>39.2</v>
      </c>
      <c r="AC121">
        <v>25.7</v>
      </c>
      <c r="AD121">
        <v>61.1</v>
      </c>
      <c r="AE121">
        <v>101.9</v>
      </c>
      <c r="AF121">
        <v>0</v>
      </c>
      <c r="AG121">
        <v>0.3</v>
      </c>
      <c r="AH121">
        <v>0.5</v>
      </c>
      <c r="AI121">
        <v>0</v>
      </c>
      <c r="AJ121">
        <v>0</v>
      </c>
      <c r="AK121">
        <v>0</v>
      </c>
      <c r="AL121">
        <v>289.1</v>
      </c>
      <c r="AM121">
        <v>0</v>
      </c>
      <c r="AN121">
        <v>170</v>
      </c>
      <c r="AO121">
        <v>0</v>
      </c>
      <c r="AP121">
        <v>0</v>
      </c>
      <c r="AQ121" s="74">
        <v>0</v>
      </c>
      <c r="AR121">
        <v>0</v>
      </c>
    </row>
    <row r="122" spans="1:44" ht="12.75">
      <c r="A122" s="11" t="s">
        <v>110</v>
      </c>
      <c r="AM122">
        <v>1819.5</v>
      </c>
      <c r="AN122">
        <v>1409.8</v>
      </c>
      <c r="AO122">
        <v>0</v>
      </c>
      <c r="AP122">
        <v>0</v>
      </c>
      <c r="AQ122" s="74">
        <v>0</v>
      </c>
      <c r="AR122">
        <v>0</v>
      </c>
    </row>
    <row r="123" spans="1:43" ht="12.75">
      <c r="A123" s="9" t="s">
        <v>112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0.8</v>
      </c>
      <c r="Q123">
        <v>159.4</v>
      </c>
      <c r="R123">
        <v>165.6</v>
      </c>
      <c r="S123">
        <v>95.7</v>
      </c>
      <c r="T123">
        <v>74.3</v>
      </c>
      <c r="U123">
        <v>38</v>
      </c>
      <c r="V123">
        <v>6</v>
      </c>
      <c r="W123">
        <v>2.4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Q123" s="74"/>
    </row>
    <row r="124" spans="1:43" ht="12.75">
      <c r="A124" s="12" t="s">
        <v>113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 s="41">
        <v>5</v>
      </c>
      <c r="O124">
        <v>0</v>
      </c>
      <c r="P124">
        <v>0</v>
      </c>
      <c r="Q124">
        <v>1.8</v>
      </c>
      <c r="R124">
        <v>2</v>
      </c>
      <c r="S124">
        <v>3.3</v>
      </c>
      <c r="T124">
        <v>3.2</v>
      </c>
      <c r="U124">
        <v>1.1</v>
      </c>
      <c r="V124">
        <v>1</v>
      </c>
      <c r="W124">
        <v>0.1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Q124" s="74"/>
    </row>
    <row r="125" spans="1:43" ht="12.75">
      <c r="A125" s="9" t="s">
        <v>114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175.6</v>
      </c>
      <c r="R125">
        <v>112.1</v>
      </c>
      <c r="S125">
        <v>231.8</v>
      </c>
      <c r="T125">
        <v>239.8</v>
      </c>
      <c r="U125">
        <v>124.5</v>
      </c>
      <c r="V125">
        <v>35.8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Q125" s="74"/>
    </row>
    <row r="126" ht="12.75">
      <c r="A126" s="8"/>
    </row>
    <row r="127" spans="1:48" s="2" customFormat="1" ht="12.75">
      <c r="A127" s="10" t="s">
        <v>115</v>
      </c>
      <c r="B127" s="53">
        <f aca="true" t="shared" si="52" ref="B127:K127">B99-B112</f>
        <v>0.8000000000000007</v>
      </c>
      <c r="C127" s="53">
        <f t="shared" si="52"/>
        <v>-0.10000000000000142</v>
      </c>
      <c r="D127" s="53">
        <f t="shared" si="52"/>
        <v>-0.8999999999999986</v>
      </c>
      <c r="E127" s="53">
        <f t="shared" si="52"/>
        <v>1.1999999999999957</v>
      </c>
      <c r="F127" s="2">
        <f>F99-F112</f>
        <v>-6.200000000000003</v>
      </c>
      <c r="G127" s="2">
        <f t="shared" si="52"/>
        <v>-11.100000000000009</v>
      </c>
      <c r="H127" s="2">
        <f t="shared" si="52"/>
        <v>-7.400000000000006</v>
      </c>
      <c r="I127" s="2">
        <f t="shared" si="52"/>
        <v>-9.200000000000017</v>
      </c>
      <c r="J127" s="2">
        <f t="shared" si="52"/>
        <v>-28.299999999999983</v>
      </c>
      <c r="K127" s="2">
        <f t="shared" si="52"/>
        <v>-41.39999999999998</v>
      </c>
      <c r="L127" s="2">
        <f aca="true" t="shared" si="53" ref="L127:U127">L99-L112</f>
        <v>-48.099999999999966</v>
      </c>
      <c r="M127" s="2">
        <f t="shared" si="53"/>
        <v>-59.5</v>
      </c>
      <c r="N127" s="2">
        <f t="shared" si="53"/>
        <v>-62.099999999999966</v>
      </c>
      <c r="O127" s="2">
        <f t="shared" si="53"/>
        <v>-57</v>
      </c>
      <c r="P127" s="2">
        <f t="shared" si="53"/>
        <v>-67.39999999999992</v>
      </c>
      <c r="Q127" s="2">
        <f t="shared" si="53"/>
        <v>-116.89999999999986</v>
      </c>
      <c r="R127" s="2">
        <f t="shared" si="53"/>
        <v>-193.79999999999973</v>
      </c>
      <c r="S127" s="2">
        <f t="shared" si="53"/>
        <v>-169.79999999999995</v>
      </c>
      <c r="T127" s="2">
        <f t="shared" si="53"/>
        <v>-458</v>
      </c>
      <c r="U127" s="2">
        <f t="shared" si="53"/>
        <v>-608.9000000000003</v>
      </c>
      <c r="V127" s="2">
        <f aca="true" t="shared" si="54" ref="V127:AE127">V99-V112</f>
        <v>-528.3000000000002</v>
      </c>
      <c r="W127" s="2">
        <f t="shared" si="54"/>
        <v>-972.5000000000002</v>
      </c>
      <c r="X127" s="2">
        <f t="shared" si="54"/>
        <v>-937</v>
      </c>
      <c r="Y127" s="2">
        <f t="shared" si="54"/>
        <v>-665.4999999999995</v>
      </c>
      <c r="Z127" s="2">
        <f t="shared" si="54"/>
        <v>-898.5999999999995</v>
      </c>
      <c r="AA127" s="2">
        <f t="shared" si="54"/>
        <v>-638.7999999999997</v>
      </c>
      <c r="AB127" s="2">
        <f t="shared" si="54"/>
        <v>-646.9999999999995</v>
      </c>
      <c r="AC127" s="2">
        <f t="shared" si="54"/>
        <v>-1449.5000000000005</v>
      </c>
      <c r="AD127" s="2">
        <f t="shared" si="54"/>
        <v>-1469.0999999999995</v>
      </c>
      <c r="AE127" s="2">
        <f t="shared" si="54"/>
        <v>-2125.2000000000003</v>
      </c>
      <c r="AF127" s="2">
        <f aca="true" t="shared" si="55" ref="AF127:AQ127">AF99-AF112</f>
        <v>-1142.1</v>
      </c>
      <c r="AG127" s="2">
        <f t="shared" si="55"/>
        <v>-418.59999999999764</v>
      </c>
      <c r="AH127" s="2">
        <f t="shared" si="55"/>
        <v>-1157.2999999999993</v>
      </c>
      <c r="AI127" s="2">
        <f t="shared" si="55"/>
        <v>-872.3000000000011</v>
      </c>
      <c r="AJ127" s="2">
        <f t="shared" si="55"/>
        <v>-636.2000000000007</v>
      </c>
      <c r="AK127" s="2">
        <f t="shared" si="55"/>
        <v>332.1000000000022</v>
      </c>
      <c r="AL127" s="2">
        <f t="shared" si="55"/>
        <v>244.5</v>
      </c>
      <c r="AM127" s="2">
        <f t="shared" si="55"/>
        <v>338.79999999999563</v>
      </c>
      <c r="AN127" s="2">
        <f t="shared" si="55"/>
        <v>-3059.9000000000015</v>
      </c>
      <c r="AO127" s="2">
        <f t="shared" si="55"/>
        <v>-17344.300000000003</v>
      </c>
      <c r="AP127" s="2">
        <f t="shared" si="55"/>
        <v>-927.1999999999971</v>
      </c>
      <c r="AQ127" s="2">
        <f t="shared" si="55"/>
        <v>-4766.299999999988</v>
      </c>
      <c r="AR127" s="2">
        <f>AR99-AR112</f>
        <v>-3380.100000000006</v>
      </c>
      <c r="AS127" s="2" t="e">
        <f>AS99-AS112</f>
        <v>#VALUE!</v>
      </c>
      <c r="AT127" s="2" t="e">
        <f>AT99-AT112</f>
        <v>#VALUE!</v>
      </c>
      <c r="AU127" s="2" t="e">
        <f>AU99-AU112</f>
        <v>#VALUE!</v>
      </c>
      <c r="AV127" s="59" t="s">
        <v>116</v>
      </c>
    </row>
    <row r="128" s="1" customFormat="1" ht="12.75">
      <c r="A128" s="5"/>
    </row>
    <row r="129" spans="1:47" s="2" customFormat="1" ht="12.75">
      <c r="A129" s="26" t="s">
        <v>117</v>
      </c>
      <c r="B129" s="2">
        <f aca="true" t="shared" si="56" ref="B129:AR129">SUM(B130:B140)</f>
        <v>0</v>
      </c>
      <c r="C129" s="2">
        <f t="shared" si="56"/>
        <v>0</v>
      </c>
      <c r="D129" s="2">
        <f t="shared" si="56"/>
        <v>0</v>
      </c>
      <c r="E129" s="2">
        <f t="shared" si="56"/>
        <v>0</v>
      </c>
      <c r="F129" s="2">
        <f t="shared" si="56"/>
        <v>6.199999999999999</v>
      </c>
      <c r="G129" s="2">
        <f t="shared" si="56"/>
        <v>11.100000000000001</v>
      </c>
      <c r="H129" s="2">
        <f t="shared" si="56"/>
        <v>7.3999999999999995</v>
      </c>
      <c r="I129" s="2">
        <f t="shared" si="56"/>
        <v>9.2</v>
      </c>
      <c r="J129" s="2">
        <f t="shared" si="56"/>
        <v>20.9</v>
      </c>
      <c r="K129" s="2">
        <f t="shared" si="56"/>
        <v>33.7</v>
      </c>
      <c r="L129" s="2">
        <f t="shared" si="56"/>
        <v>40.1</v>
      </c>
      <c r="M129" s="2">
        <f t="shared" si="56"/>
        <v>54.5</v>
      </c>
      <c r="N129" s="2">
        <f t="shared" si="56"/>
        <v>18.599999999999998</v>
      </c>
      <c r="O129" s="2">
        <f t="shared" si="56"/>
        <v>57</v>
      </c>
      <c r="P129" s="2">
        <f t="shared" si="56"/>
        <v>67.4</v>
      </c>
      <c r="Q129" s="2">
        <f t="shared" si="56"/>
        <v>116.9</v>
      </c>
      <c r="R129" s="2">
        <f t="shared" si="56"/>
        <v>193.79999999999998</v>
      </c>
      <c r="S129" s="2">
        <f t="shared" si="56"/>
        <v>169.8</v>
      </c>
      <c r="T129" s="2">
        <f t="shared" si="56"/>
        <v>458</v>
      </c>
      <c r="U129" s="2">
        <f t="shared" si="56"/>
        <v>608.9</v>
      </c>
      <c r="V129" s="2">
        <f t="shared" si="56"/>
        <v>528.3</v>
      </c>
      <c r="W129" s="2">
        <f t="shared" si="56"/>
        <v>972.4999999999999</v>
      </c>
      <c r="X129" s="2">
        <f t="shared" si="56"/>
        <v>937</v>
      </c>
      <c r="Y129" s="2">
        <f t="shared" si="56"/>
        <v>665.5</v>
      </c>
      <c r="Z129" s="2">
        <f t="shared" si="56"/>
        <v>898.6</v>
      </c>
      <c r="AA129" s="2">
        <f t="shared" si="56"/>
        <v>638.8</v>
      </c>
      <c r="AB129" s="2">
        <f t="shared" si="56"/>
        <v>647</v>
      </c>
      <c r="AC129" s="2">
        <f t="shared" si="56"/>
        <v>1449.5</v>
      </c>
      <c r="AD129" s="2">
        <f t="shared" si="56"/>
        <v>1469.1000000000001</v>
      </c>
      <c r="AE129" s="2">
        <f t="shared" si="56"/>
        <v>2125.2</v>
      </c>
      <c r="AF129" s="2">
        <f t="shared" si="56"/>
        <v>1142.1</v>
      </c>
      <c r="AG129" s="2">
        <f t="shared" si="56"/>
        <v>418.59999999999997</v>
      </c>
      <c r="AH129" s="2">
        <f t="shared" si="56"/>
        <v>1157.3</v>
      </c>
      <c r="AI129" s="2">
        <f t="shared" si="56"/>
        <v>872.3</v>
      </c>
      <c r="AJ129" s="2">
        <f t="shared" si="56"/>
        <v>-186.9000000000001</v>
      </c>
      <c r="AK129" s="2">
        <f t="shared" si="56"/>
        <v>-332.1</v>
      </c>
      <c r="AL129" s="2">
        <f t="shared" si="56"/>
        <v>-244.5</v>
      </c>
      <c r="AM129" s="2">
        <f t="shared" si="56"/>
        <v>-338.79999999999995</v>
      </c>
      <c r="AN129" s="2">
        <f t="shared" si="56"/>
        <v>3059.9000000000005</v>
      </c>
      <c r="AO129" s="2">
        <f t="shared" si="56"/>
        <v>17344.3</v>
      </c>
      <c r="AP129" s="2">
        <f t="shared" si="56"/>
        <v>927.1999999999998</v>
      </c>
      <c r="AQ129" s="2">
        <f t="shared" si="56"/>
        <v>4766.3</v>
      </c>
      <c r="AR129" s="2">
        <f t="shared" si="56"/>
        <v>3380.1</v>
      </c>
      <c r="AS129" s="2">
        <f>SUM(AS130:AS140)</f>
        <v>0</v>
      </c>
      <c r="AT129" s="2">
        <f>SUM(AT130:AT140)</f>
        <v>0</v>
      </c>
      <c r="AU129" s="2">
        <f>SUM(AU130:AU140)</f>
        <v>0</v>
      </c>
    </row>
    <row r="130" spans="1:44" ht="12.75">
      <c r="A130" s="8" t="s">
        <v>118</v>
      </c>
      <c r="F130">
        <v>5.1</v>
      </c>
      <c r="G130">
        <v>8.3</v>
      </c>
      <c r="H130">
        <v>6.1</v>
      </c>
      <c r="I130">
        <v>5.5</v>
      </c>
      <c r="J130">
        <f>-0.9+13.2</f>
        <v>12.299999999999999</v>
      </c>
      <c r="K130">
        <f>-0.2+11.5</f>
        <v>11.3</v>
      </c>
      <c r="L130">
        <f>1.3+17.5</f>
        <v>18.8</v>
      </c>
      <c r="M130">
        <f>3.9+31.1</f>
        <v>35</v>
      </c>
      <c r="N130">
        <f>0.5+2.9</f>
        <v>3.4</v>
      </c>
      <c r="O130">
        <v>46.3</v>
      </c>
      <c r="P130">
        <v>94.3</v>
      </c>
      <c r="Q130">
        <v>30</v>
      </c>
      <c r="R130">
        <v>10</v>
      </c>
      <c r="S130">
        <v>0</v>
      </c>
      <c r="T130">
        <v>350</v>
      </c>
      <c r="U130">
        <v>250</v>
      </c>
      <c r="V130">
        <v>350</v>
      </c>
      <c r="W130">
        <v>688.6</v>
      </c>
      <c r="X130">
        <v>779.1</v>
      </c>
      <c r="Y130">
        <v>567.2</v>
      </c>
      <c r="Z130">
        <v>695.3</v>
      </c>
      <c r="AA130">
        <v>454</v>
      </c>
      <c r="AB130">
        <v>554.7</v>
      </c>
      <c r="AC130">
        <v>1284</v>
      </c>
      <c r="AD130">
        <v>1374.7</v>
      </c>
      <c r="AE130">
        <v>2024.5</v>
      </c>
      <c r="AF130">
        <v>1137.8</v>
      </c>
      <c r="AG130">
        <v>557.3</v>
      </c>
      <c r="AH130">
        <v>960.5</v>
      </c>
      <c r="AI130">
        <v>907.7</v>
      </c>
      <c r="AJ130">
        <v>241.4</v>
      </c>
      <c r="AK130">
        <v>0</v>
      </c>
      <c r="AL130">
        <v>0</v>
      </c>
      <c r="AM130">
        <v>0</v>
      </c>
      <c r="AN130">
        <v>0</v>
      </c>
      <c r="AO130">
        <v>6636</v>
      </c>
      <c r="AP130">
        <v>0</v>
      </c>
      <c r="AQ130">
        <v>0</v>
      </c>
      <c r="AR130">
        <v>0</v>
      </c>
    </row>
    <row r="131" spans="1:44" ht="12.75">
      <c r="A131" s="8" t="s">
        <v>119</v>
      </c>
      <c r="F131">
        <v>1.1</v>
      </c>
      <c r="G131">
        <v>0.8</v>
      </c>
      <c r="H131">
        <v>0.1</v>
      </c>
      <c r="I131">
        <v>2.5</v>
      </c>
      <c r="J131">
        <v>8.6</v>
      </c>
      <c r="K131">
        <v>22.4</v>
      </c>
      <c r="L131">
        <v>21.3</v>
      </c>
      <c r="M131">
        <v>19.5</v>
      </c>
      <c r="N131">
        <v>15.2</v>
      </c>
      <c r="O131">
        <v>10.7</v>
      </c>
      <c r="P131">
        <v>15.7</v>
      </c>
      <c r="Q131">
        <v>9.5</v>
      </c>
      <c r="R131">
        <v>6.1</v>
      </c>
      <c r="S131">
        <v>25.4</v>
      </c>
      <c r="T131">
        <v>29.4</v>
      </c>
      <c r="U131">
        <v>0.8</v>
      </c>
      <c r="V131">
        <v>2.4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153.7</v>
      </c>
      <c r="AN131">
        <v>191</v>
      </c>
      <c r="AO131">
        <v>135.7</v>
      </c>
      <c r="AP131">
        <v>154</v>
      </c>
      <c r="AQ131">
        <v>175</v>
      </c>
      <c r="AR131">
        <v>228.9</v>
      </c>
    </row>
    <row r="132" spans="1:44" ht="12.75">
      <c r="A132" s="8" t="s">
        <v>120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77.4</v>
      </c>
      <c r="R132">
        <v>177.7</v>
      </c>
      <c r="S132">
        <v>144.4</v>
      </c>
      <c r="T132">
        <v>126.6</v>
      </c>
      <c r="U132">
        <v>257.7</v>
      </c>
      <c r="V132">
        <v>31.2</v>
      </c>
      <c r="W132">
        <v>263.2</v>
      </c>
      <c r="X132">
        <v>169.8</v>
      </c>
      <c r="Y132">
        <v>195.1</v>
      </c>
      <c r="Z132">
        <v>248.7</v>
      </c>
      <c r="AA132">
        <v>173</v>
      </c>
      <c r="AB132">
        <v>104.6</v>
      </c>
      <c r="AC132">
        <v>101.6</v>
      </c>
      <c r="AD132">
        <v>113.2</v>
      </c>
      <c r="AE132">
        <v>122.2</v>
      </c>
      <c r="AF132">
        <v>113.4</v>
      </c>
      <c r="AG132">
        <v>112</v>
      </c>
      <c r="AH132">
        <v>158</v>
      </c>
      <c r="AI132">
        <v>169.6</v>
      </c>
      <c r="AJ132">
        <v>201.3</v>
      </c>
      <c r="AK132">
        <v>266.5</v>
      </c>
      <c r="AL132">
        <v>270.3</v>
      </c>
      <c r="AM132">
        <v>534.6</v>
      </c>
      <c r="AN132">
        <v>653.2</v>
      </c>
      <c r="AO132">
        <v>479</v>
      </c>
      <c r="AP132">
        <v>640</v>
      </c>
      <c r="AQ132">
        <v>1287.2</v>
      </c>
      <c r="AR132">
        <v>615.8</v>
      </c>
    </row>
    <row r="133" spans="1:44" ht="12.75">
      <c r="A133" s="8" t="s">
        <v>121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100.4</v>
      </c>
      <c r="V133">
        <v>92.2</v>
      </c>
      <c r="W133">
        <v>22.8</v>
      </c>
      <c r="X133">
        <v>51.3</v>
      </c>
      <c r="Y133">
        <v>15.8</v>
      </c>
      <c r="Z133">
        <v>20.5</v>
      </c>
      <c r="AA133">
        <v>11.8</v>
      </c>
      <c r="AB133">
        <v>14.4</v>
      </c>
      <c r="AC133">
        <v>68</v>
      </c>
      <c r="AD133">
        <v>35.6</v>
      </c>
      <c r="AE133">
        <v>5.7</v>
      </c>
      <c r="AF133">
        <v>5.1</v>
      </c>
      <c r="AG133">
        <v>6</v>
      </c>
      <c r="AH133">
        <v>39</v>
      </c>
      <c r="AI133">
        <v>5.9</v>
      </c>
      <c r="AJ133">
        <v>104.3</v>
      </c>
      <c r="AK133">
        <v>57.8</v>
      </c>
      <c r="AL133">
        <v>260.7</v>
      </c>
      <c r="AM133">
        <v>0.7</v>
      </c>
      <c r="AN133">
        <v>0.7</v>
      </c>
      <c r="AO133">
        <v>1.2</v>
      </c>
      <c r="AP133">
        <v>17.7</v>
      </c>
      <c r="AQ133">
        <v>0.7</v>
      </c>
      <c r="AR133">
        <v>0.7</v>
      </c>
    </row>
    <row r="134" spans="1:44" ht="12.75">
      <c r="A134" s="8" t="s">
        <v>122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10.8</v>
      </c>
      <c r="AC134">
        <v>6.5</v>
      </c>
      <c r="AD134">
        <v>3.7</v>
      </c>
      <c r="AE134">
        <v>0</v>
      </c>
      <c r="AF134">
        <v>0.7</v>
      </c>
      <c r="AG134">
        <v>0</v>
      </c>
      <c r="AH134">
        <v>2</v>
      </c>
      <c r="AI134">
        <v>0.2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 s="8" t="s">
        <v>123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7.8</v>
      </c>
      <c r="AF135">
        <v>1</v>
      </c>
      <c r="AG135">
        <v>0</v>
      </c>
      <c r="AH135">
        <v>29.1</v>
      </c>
      <c r="AI135">
        <v>8.6</v>
      </c>
      <c r="AJ135">
        <v>3.8</v>
      </c>
      <c r="AK135">
        <v>26.7</v>
      </c>
      <c r="AL135">
        <v>14.4</v>
      </c>
      <c r="AM135">
        <v>66.7</v>
      </c>
      <c r="AN135">
        <v>329.7</v>
      </c>
      <c r="AO135">
        <v>187.2</v>
      </c>
      <c r="AP135">
        <v>195.5</v>
      </c>
      <c r="AQ135">
        <v>162.6</v>
      </c>
      <c r="AR135">
        <v>135.8</v>
      </c>
    </row>
    <row r="136" spans="1:44" ht="12.75">
      <c r="A136" s="11" t="s">
        <v>124</v>
      </c>
      <c r="AK136">
        <v>0</v>
      </c>
      <c r="AL136">
        <v>0</v>
      </c>
      <c r="AM136">
        <v>0</v>
      </c>
      <c r="AN136">
        <v>2174</v>
      </c>
      <c r="AO136">
        <v>2500</v>
      </c>
      <c r="AP136">
        <v>1884.3</v>
      </c>
      <c r="AQ136">
        <v>2049.8</v>
      </c>
      <c r="AR136">
        <v>2305.3</v>
      </c>
    </row>
    <row r="137" spans="1:44" ht="12.75">
      <c r="A137" s="11" t="s">
        <v>143</v>
      </c>
      <c r="AP137">
        <v>4.2</v>
      </c>
      <c r="AQ137">
        <v>0.2</v>
      </c>
      <c r="AR137">
        <v>93.6</v>
      </c>
    </row>
    <row r="138" spans="1:44" ht="12.75">
      <c r="A138" s="8" t="s">
        <v>125</v>
      </c>
      <c r="F138">
        <v>0</v>
      </c>
      <c r="G138">
        <v>2</v>
      </c>
      <c r="H138">
        <f>-0.8+2</f>
        <v>1.2</v>
      </c>
      <c r="I138">
        <f>-4.2+5.4</f>
        <v>1.2000000000000002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-42.6</v>
      </c>
      <c r="Q138">
        <v>0</v>
      </c>
      <c r="R138">
        <v>0</v>
      </c>
      <c r="S138">
        <v>0</v>
      </c>
      <c r="T138">
        <v>-48</v>
      </c>
      <c r="U138">
        <v>0</v>
      </c>
      <c r="V138">
        <v>52.5</v>
      </c>
      <c r="W138">
        <v>-2.1</v>
      </c>
      <c r="X138">
        <v>-63.2</v>
      </c>
      <c r="Y138">
        <v>-112.6</v>
      </c>
      <c r="Z138">
        <v>-65.9</v>
      </c>
      <c r="AA138">
        <v>0</v>
      </c>
      <c r="AB138">
        <v>-37.5</v>
      </c>
      <c r="AC138">
        <v>-10.6</v>
      </c>
      <c r="AD138">
        <v>-58.1</v>
      </c>
      <c r="AE138">
        <v>-35</v>
      </c>
      <c r="AF138">
        <v>-115.9</v>
      </c>
      <c r="AG138">
        <v>-256.7</v>
      </c>
      <c r="AH138">
        <v>-31.3</v>
      </c>
      <c r="AI138">
        <v>-219.7</v>
      </c>
      <c r="AJ138">
        <v>-737.7</v>
      </c>
      <c r="AK138">
        <v>-683.1</v>
      </c>
      <c r="AL138">
        <v>-789.9</v>
      </c>
      <c r="AM138">
        <v>-1094.5</v>
      </c>
      <c r="AN138">
        <v>-288.7</v>
      </c>
      <c r="AO138">
        <v>-503.5</v>
      </c>
      <c r="AP138">
        <v>-1968.5</v>
      </c>
      <c r="AQ138">
        <v>1090.8</v>
      </c>
      <c r="AR138">
        <v>0</v>
      </c>
    </row>
    <row r="139" spans="1:44" ht="12.75">
      <c r="A139" s="11" t="s">
        <v>141</v>
      </c>
      <c r="AM139">
        <v>0</v>
      </c>
      <c r="AN139">
        <v>0</v>
      </c>
      <c r="AO139">
        <v>5570</v>
      </c>
      <c r="AP139">
        <v>0</v>
      </c>
      <c r="AQ139">
        <v>0</v>
      </c>
      <c r="AR139">
        <v>0</v>
      </c>
    </row>
    <row r="140" spans="1:44" ht="12.75">
      <c r="A140" s="11" t="s">
        <v>142</v>
      </c>
      <c r="AM140">
        <v>0</v>
      </c>
      <c r="AN140">
        <v>0</v>
      </c>
      <c r="AO140">
        <v>2338.7</v>
      </c>
      <c r="AP140">
        <v>0</v>
      </c>
      <c r="AQ140">
        <v>0</v>
      </c>
      <c r="AR140">
        <v>0</v>
      </c>
    </row>
    <row r="142" spans="1:44" s="38" customFormat="1" ht="12.75">
      <c r="A142" s="27" t="s">
        <v>126</v>
      </c>
      <c r="F142" s="40">
        <v>-6.2</v>
      </c>
      <c r="G142" s="40">
        <v>-11.1</v>
      </c>
      <c r="H142" s="38">
        <v>-7.4</v>
      </c>
      <c r="I142" s="38">
        <v>-9.2</v>
      </c>
      <c r="J142" s="38">
        <f>-2.1-26.2</f>
        <v>-28.3</v>
      </c>
      <c r="K142" s="38">
        <f>-4.3-37.1</f>
        <v>-41.4</v>
      </c>
      <c r="L142" s="38">
        <f>-39.8-8.3</f>
        <v>-48.099999999999994</v>
      </c>
      <c r="M142" s="38">
        <f>-10.9-48.6</f>
        <v>-59.5</v>
      </c>
      <c r="N142" s="38">
        <f>258.3-320.4</f>
        <v>-62.099999999999966</v>
      </c>
      <c r="O142" s="38">
        <v>-57</v>
      </c>
      <c r="P142" s="38">
        <v>-67.4</v>
      </c>
      <c r="Q142" s="38">
        <v>-116.9</v>
      </c>
      <c r="R142" s="38">
        <v>-193.8</v>
      </c>
      <c r="S142" s="38">
        <v>-169.8</v>
      </c>
      <c r="T142" s="38">
        <v>-458</v>
      </c>
      <c r="U142" s="38">
        <v>-608.9</v>
      </c>
      <c r="V142" s="38">
        <v>-528.3</v>
      </c>
      <c r="W142" s="38">
        <v>-972.5</v>
      </c>
      <c r="X142" s="38">
        <v>-937</v>
      </c>
      <c r="Y142" s="38">
        <v>-665.5</v>
      </c>
      <c r="Z142" s="38">
        <v>-898.6</v>
      </c>
      <c r="AA142" s="38">
        <v>-638.8</v>
      </c>
      <c r="AB142" s="38">
        <v>-647</v>
      </c>
      <c r="AC142" s="38">
        <v>-1449.5</v>
      </c>
      <c r="AD142" s="38">
        <v>-1469.1</v>
      </c>
      <c r="AE142" s="38">
        <v>-2125.2</v>
      </c>
      <c r="AF142" s="38">
        <v>-1142.1</v>
      </c>
      <c r="AG142" s="38">
        <v>-418.6</v>
      </c>
      <c r="AH142" s="38">
        <v>-1157.3</v>
      </c>
      <c r="AI142" s="38">
        <v>-872.3</v>
      </c>
      <c r="AJ142" s="38">
        <v>-636.2</v>
      </c>
      <c r="AK142" s="38">
        <v>332.1</v>
      </c>
      <c r="AL142" s="38">
        <v>244.5</v>
      </c>
      <c r="AM142" s="38">
        <v>338.8</v>
      </c>
      <c r="AN142" s="38">
        <v>-3059.9</v>
      </c>
      <c r="AO142" s="38">
        <v>-17344.3</v>
      </c>
      <c r="AP142" s="38">
        <v>-927.2</v>
      </c>
      <c r="AQ142" s="38">
        <v>-4766.3</v>
      </c>
      <c r="AR142" s="38">
        <v>-3380.1</v>
      </c>
    </row>
    <row r="143" ht="12.75">
      <c r="A143" s="4" t="s">
        <v>144</v>
      </c>
    </row>
    <row r="144" spans="1:49" s="38" customFormat="1" ht="12.75">
      <c r="A144" s="12" t="s">
        <v>127</v>
      </c>
      <c r="B144" s="65">
        <f>B127-B142</f>
        <v>0.8000000000000007</v>
      </c>
      <c r="C144" s="65">
        <f>C127-C142</f>
        <v>-0.10000000000000142</v>
      </c>
      <c r="D144" s="65">
        <f>D127-D142</f>
        <v>-0.8999999999999986</v>
      </c>
      <c r="E144" s="65">
        <f>E127-E142</f>
        <v>1.1999999999999957</v>
      </c>
      <c r="F144" s="65">
        <f aca="true" t="shared" si="57" ref="F144:R144">F127-F142</f>
        <v>0</v>
      </c>
      <c r="G144" s="65">
        <f t="shared" si="57"/>
        <v>0</v>
      </c>
      <c r="H144" s="65">
        <f t="shared" si="57"/>
        <v>0</v>
      </c>
      <c r="I144" s="65">
        <f t="shared" si="57"/>
        <v>-1.7763568394002505E-14</v>
      </c>
      <c r="J144" s="65">
        <f>J127-J142</f>
        <v>0</v>
      </c>
      <c r="K144" s="65">
        <f t="shared" si="57"/>
        <v>0</v>
      </c>
      <c r="L144" s="65">
        <f t="shared" si="57"/>
        <v>0</v>
      </c>
      <c r="M144" s="65">
        <f t="shared" si="57"/>
        <v>0</v>
      </c>
      <c r="N144" s="65">
        <f t="shared" si="57"/>
        <v>0</v>
      </c>
      <c r="O144" s="65">
        <f t="shared" si="57"/>
        <v>0</v>
      </c>
      <c r="P144" s="65">
        <f t="shared" si="57"/>
        <v>0</v>
      </c>
      <c r="Q144" s="65">
        <f t="shared" si="57"/>
        <v>1.4210854715202004E-13</v>
      </c>
      <c r="R144" s="65">
        <f t="shared" si="57"/>
        <v>2.8421709430404007E-13</v>
      </c>
      <c r="S144" s="65">
        <f aca="true" t="shared" si="58" ref="S144:AH144">S127-S142</f>
        <v>0</v>
      </c>
      <c r="T144" s="65">
        <f t="shared" si="58"/>
        <v>0</v>
      </c>
      <c r="U144" s="65">
        <f t="shared" si="58"/>
        <v>0</v>
      </c>
      <c r="V144" s="66">
        <f t="shared" si="58"/>
        <v>0</v>
      </c>
      <c r="W144" s="66">
        <f t="shared" si="58"/>
        <v>0</v>
      </c>
      <c r="X144" s="66">
        <f t="shared" si="58"/>
        <v>0</v>
      </c>
      <c r="Y144" s="66">
        <f t="shared" si="58"/>
        <v>0</v>
      </c>
      <c r="Z144" s="66">
        <f t="shared" si="58"/>
        <v>0</v>
      </c>
      <c r="AA144" s="67">
        <f t="shared" si="58"/>
        <v>0</v>
      </c>
      <c r="AB144" s="66">
        <f t="shared" si="58"/>
        <v>0</v>
      </c>
      <c r="AC144" s="66">
        <f t="shared" si="58"/>
        <v>0</v>
      </c>
      <c r="AD144" s="66">
        <f t="shared" si="58"/>
        <v>0</v>
      </c>
      <c r="AE144" s="66">
        <f t="shared" si="58"/>
        <v>0</v>
      </c>
      <c r="AF144" s="66">
        <f t="shared" si="58"/>
        <v>0</v>
      </c>
      <c r="AG144" s="66">
        <f t="shared" si="58"/>
        <v>2.3874235921539366E-12</v>
      </c>
      <c r="AH144" s="66">
        <f t="shared" si="58"/>
        <v>0</v>
      </c>
      <c r="AI144" s="66">
        <f aca="true" t="shared" si="59" ref="AI144:AQ144">AI127-AI142</f>
        <v>-1.1368683772161603E-12</v>
      </c>
      <c r="AJ144" s="66">
        <f t="shared" si="59"/>
        <v>0</v>
      </c>
      <c r="AK144" s="67">
        <f t="shared" si="59"/>
        <v>2.1600499167107046E-12</v>
      </c>
      <c r="AL144" s="67">
        <f t="shared" si="59"/>
        <v>0</v>
      </c>
      <c r="AM144" s="66">
        <f t="shared" si="59"/>
        <v>-4.376943252282217E-12</v>
      </c>
      <c r="AN144" s="66">
        <f t="shared" si="59"/>
        <v>0</v>
      </c>
      <c r="AO144" s="66">
        <f t="shared" si="59"/>
        <v>0</v>
      </c>
      <c r="AP144" s="66">
        <f t="shared" si="59"/>
        <v>2.9558577807620168E-12</v>
      </c>
      <c r="AQ144" s="66">
        <f t="shared" si="59"/>
        <v>1.1823431123048067E-11</v>
      </c>
      <c r="AR144" s="66">
        <f>AR127-AR142</f>
        <v>-5.9117155615240335E-12</v>
      </c>
      <c r="AS144" s="66" t="e">
        <f>AS127-AS142</f>
        <v>#VALUE!</v>
      </c>
      <c r="AT144" s="66" t="e">
        <f>AT127-AT142</f>
        <v>#VALUE!</v>
      </c>
      <c r="AU144" s="66" t="e">
        <f>AU127-AU142</f>
        <v>#VALUE!</v>
      </c>
      <c r="AV144" s="66"/>
      <c r="AW144" s="66"/>
    </row>
    <row r="145" spans="2:48" ht="12.75">
      <c r="B145">
        <f>B127+B129</f>
        <v>0.8000000000000007</v>
      </c>
      <c r="C145">
        <f aca="true" t="shared" si="60" ref="C145:AS145">C127+C129</f>
        <v>-0.10000000000000142</v>
      </c>
      <c r="D145">
        <f t="shared" si="60"/>
        <v>-0.8999999999999986</v>
      </c>
      <c r="E145">
        <f t="shared" si="60"/>
        <v>1.1999999999999957</v>
      </c>
      <c r="F145">
        <f t="shared" si="60"/>
        <v>0</v>
      </c>
      <c r="G145">
        <f t="shared" si="60"/>
        <v>0</v>
      </c>
      <c r="H145">
        <f t="shared" si="60"/>
        <v>0</v>
      </c>
      <c r="I145" s="71">
        <f t="shared" si="60"/>
        <v>-1.7763568394002505E-14</v>
      </c>
      <c r="J145">
        <f t="shared" si="60"/>
        <v>-7.399999999999984</v>
      </c>
      <c r="K145">
        <f t="shared" si="60"/>
        <v>-7.699999999999974</v>
      </c>
      <c r="L145">
        <f t="shared" si="60"/>
        <v>-7.9999999999999645</v>
      </c>
      <c r="M145">
        <f t="shared" si="60"/>
        <v>-5</v>
      </c>
      <c r="N145">
        <f t="shared" si="60"/>
        <v>-43.49999999999997</v>
      </c>
      <c r="O145">
        <f t="shared" si="60"/>
        <v>0</v>
      </c>
      <c r="P145">
        <f t="shared" si="60"/>
        <v>0</v>
      </c>
      <c r="Q145">
        <f t="shared" si="60"/>
        <v>1.4210854715202004E-13</v>
      </c>
      <c r="R145">
        <f t="shared" si="60"/>
        <v>2.5579538487363607E-13</v>
      </c>
      <c r="S145">
        <f t="shared" si="60"/>
        <v>0</v>
      </c>
      <c r="T145">
        <f t="shared" si="60"/>
        <v>0</v>
      </c>
      <c r="U145">
        <f t="shared" si="60"/>
        <v>0</v>
      </c>
      <c r="V145">
        <f t="shared" si="60"/>
        <v>0</v>
      </c>
      <c r="W145">
        <f t="shared" si="60"/>
        <v>0</v>
      </c>
      <c r="X145">
        <f t="shared" si="60"/>
        <v>0</v>
      </c>
      <c r="Y145">
        <f t="shared" si="60"/>
        <v>0</v>
      </c>
      <c r="Z145">
        <f t="shared" si="60"/>
        <v>0</v>
      </c>
      <c r="AA145">
        <f t="shared" si="60"/>
        <v>0</v>
      </c>
      <c r="AB145">
        <f t="shared" si="60"/>
        <v>0</v>
      </c>
      <c r="AC145" s="69">
        <f t="shared" si="60"/>
        <v>0</v>
      </c>
      <c r="AD145" s="69">
        <f t="shared" si="60"/>
        <v>0</v>
      </c>
      <c r="AE145" s="69">
        <f t="shared" si="60"/>
        <v>0</v>
      </c>
      <c r="AF145" s="69">
        <f t="shared" si="60"/>
        <v>0</v>
      </c>
      <c r="AG145" s="69">
        <f t="shared" si="60"/>
        <v>2.3305801732931286E-12</v>
      </c>
      <c r="AH145" s="69">
        <f t="shared" si="60"/>
        <v>0</v>
      </c>
      <c r="AI145" s="69">
        <f t="shared" si="60"/>
        <v>-1.1368683772161603E-12</v>
      </c>
      <c r="AJ145" s="69">
        <f t="shared" si="60"/>
        <v>-823.1000000000008</v>
      </c>
      <c r="AK145" s="69">
        <f t="shared" si="60"/>
        <v>2.1600499167107046E-12</v>
      </c>
      <c r="AL145" s="69">
        <f t="shared" si="60"/>
        <v>0</v>
      </c>
      <c r="AM145" s="69">
        <f t="shared" si="60"/>
        <v>-4.320099833421409E-12</v>
      </c>
      <c r="AN145" s="69">
        <f t="shared" si="60"/>
        <v>0</v>
      </c>
      <c r="AO145" s="69">
        <f t="shared" si="60"/>
        <v>0</v>
      </c>
      <c r="AP145" s="69">
        <f t="shared" si="60"/>
        <v>2.7284841053187847E-12</v>
      </c>
      <c r="AQ145" s="69">
        <f t="shared" si="60"/>
        <v>1.1823431123048067E-11</v>
      </c>
      <c r="AR145" s="69">
        <f t="shared" si="60"/>
        <v>-5.9117155615240335E-12</v>
      </c>
      <c r="AS145" s="69" t="e">
        <f t="shared" si="60"/>
        <v>#VALUE!</v>
      </c>
      <c r="AT145" s="69" t="e">
        <f>AT127+AT129</f>
        <v>#VALUE!</v>
      </c>
      <c r="AU145" s="69" t="e">
        <f>AU127+AU129</f>
        <v>#VALUE!</v>
      </c>
      <c r="AV145" s="69"/>
    </row>
    <row r="146" spans="1:40" s="19" customFormat="1" ht="12.75">
      <c r="A146" s="39" t="s">
        <v>128</v>
      </c>
      <c r="B146" s="35" t="s">
        <v>86</v>
      </c>
      <c r="C146" s="35" t="s">
        <v>86</v>
      </c>
      <c r="D146" s="35" t="s">
        <v>86</v>
      </c>
      <c r="E146" s="35" t="s">
        <v>86</v>
      </c>
      <c r="F146" s="35" t="s">
        <v>87</v>
      </c>
      <c r="G146" s="35" t="s">
        <v>87</v>
      </c>
      <c r="H146" s="35" t="s">
        <v>129</v>
      </c>
      <c r="I146" s="35" t="s">
        <v>129</v>
      </c>
      <c r="J146" s="35" t="s">
        <v>88</v>
      </c>
      <c r="K146" s="35" t="s">
        <v>88</v>
      </c>
      <c r="L146" s="35" t="s">
        <v>88</v>
      </c>
      <c r="M146" s="36" t="s">
        <v>90</v>
      </c>
      <c r="N146" s="36" t="s">
        <v>49</v>
      </c>
      <c r="O146" s="35" t="s">
        <v>130</v>
      </c>
      <c r="P146" s="37" t="s">
        <v>131</v>
      </c>
      <c r="Q146" s="37" t="s">
        <v>131</v>
      </c>
      <c r="R146" s="37" t="s">
        <v>131</v>
      </c>
      <c r="S146" s="37" t="s">
        <v>131</v>
      </c>
      <c r="T146" s="37" t="s">
        <v>131</v>
      </c>
      <c r="U146" s="37" t="s">
        <v>131</v>
      </c>
      <c r="V146" s="37" t="s">
        <v>131</v>
      </c>
      <c r="W146" s="37" t="s">
        <v>131</v>
      </c>
      <c r="X146" s="35" t="s">
        <v>132</v>
      </c>
      <c r="Y146" s="35" t="s">
        <v>132</v>
      </c>
      <c r="Z146" s="35" t="s">
        <v>132</v>
      </c>
      <c r="AA146" s="35" t="s">
        <v>132</v>
      </c>
      <c r="AB146" s="35" t="s">
        <v>132</v>
      </c>
      <c r="AC146" s="35" t="s">
        <v>132</v>
      </c>
      <c r="AD146" s="35" t="s">
        <v>132</v>
      </c>
      <c r="AE146" s="35" t="s">
        <v>132</v>
      </c>
      <c r="AF146" s="35" t="s">
        <v>132</v>
      </c>
      <c r="AG146" s="35" t="s">
        <v>133</v>
      </c>
      <c r="AH146" s="35" t="s">
        <v>133</v>
      </c>
      <c r="AI146" s="35" t="s">
        <v>133</v>
      </c>
      <c r="AJ146" s="35" t="s">
        <v>133</v>
      </c>
      <c r="AK146" s="35" t="s">
        <v>133</v>
      </c>
      <c r="AL146" s="37" t="s">
        <v>134</v>
      </c>
      <c r="AM146" s="19" t="s">
        <v>134</v>
      </c>
      <c r="AN146" s="19" t="s">
        <v>134</v>
      </c>
    </row>
    <row r="148" spans="16:18" ht="12.75">
      <c r="P148" s="35"/>
      <c r="Q148" s="35"/>
      <c r="R148" s="35"/>
    </row>
    <row r="149" spans="1:47" ht="12.75">
      <c r="A149" s="76" t="s">
        <v>145</v>
      </c>
      <c r="B149">
        <f>B98</f>
        <v>19.6</v>
      </c>
      <c r="C149">
        <f>C98</f>
        <v>21.4</v>
      </c>
      <c r="D149">
        <f>D98</f>
        <v>21.8</v>
      </c>
      <c r="E149">
        <f>E98</f>
        <v>24.9</v>
      </c>
      <c r="F149">
        <f aca="true" t="shared" si="61" ref="F149:AE149">F100</f>
        <v>27.700000000000003</v>
      </c>
      <c r="G149">
        <f t="shared" si="61"/>
        <v>36.4</v>
      </c>
      <c r="H149">
        <f t="shared" si="61"/>
        <v>50</v>
      </c>
      <c r="I149">
        <f t="shared" si="61"/>
        <v>47.4</v>
      </c>
      <c r="J149">
        <f t="shared" si="61"/>
        <v>54</v>
      </c>
      <c r="K149">
        <f t="shared" si="61"/>
        <v>61.8</v>
      </c>
      <c r="L149">
        <f t="shared" si="61"/>
        <v>76.4</v>
      </c>
      <c r="M149">
        <f t="shared" si="61"/>
        <v>85.1</v>
      </c>
      <c r="N149">
        <f t="shared" si="61"/>
        <v>155.3</v>
      </c>
      <c r="O149">
        <f t="shared" si="61"/>
        <v>178.2</v>
      </c>
      <c r="P149">
        <f t="shared" si="61"/>
        <v>311.3</v>
      </c>
      <c r="Q149">
        <f t="shared" si="61"/>
        <v>1205.2</v>
      </c>
      <c r="R149">
        <f t="shared" si="61"/>
        <v>1246.8</v>
      </c>
      <c r="S149">
        <f t="shared" si="61"/>
        <v>1421.5</v>
      </c>
      <c r="T149">
        <f t="shared" si="61"/>
        <v>1497.8</v>
      </c>
      <c r="U149">
        <f t="shared" si="61"/>
        <v>1013.2</v>
      </c>
      <c r="V149">
        <f t="shared" si="61"/>
        <v>1219.7</v>
      </c>
      <c r="W149">
        <f t="shared" si="61"/>
        <v>888.8</v>
      </c>
      <c r="X149">
        <f t="shared" si="61"/>
        <v>1056.4</v>
      </c>
      <c r="Y149">
        <f t="shared" si="61"/>
        <v>1689.5</v>
      </c>
      <c r="Z149">
        <f t="shared" si="61"/>
        <v>1779.4</v>
      </c>
      <c r="AA149">
        <f t="shared" si="61"/>
        <v>1373.1</v>
      </c>
      <c r="AB149">
        <f t="shared" si="61"/>
        <v>1188.7</v>
      </c>
      <c r="AC149">
        <f t="shared" si="61"/>
        <v>416.8</v>
      </c>
      <c r="AD149">
        <f t="shared" si="61"/>
        <v>766.2</v>
      </c>
      <c r="AE149">
        <f t="shared" si="61"/>
        <v>667.8</v>
      </c>
      <c r="AF149">
        <f>AF100</f>
        <v>770.8</v>
      </c>
      <c r="AG149">
        <f aca="true" t="shared" si="62" ref="AG149:AM149">AG101+AG103</f>
        <v>1118.3000000000002</v>
      </c>
      <c r="AH149">
        <f t="shared" si="62"/>
        <v>1038.6999999999998</v>
      </c>
      <c r="AI149">
        <f t="shared" si="62"/>
        <v>1068.3999999999999</v>
      </c>
      <c r="AJ149">
        <f t="shared" si="62"/>
        <v>9908.2</v>
      </c>
      <c r="AK149">
        <f t="shared" si="62"/>
        <v>21479.7</v>
      </c>
      <c r="AL149">
        <f t="shared" si="62"/>
        <v>26666.2</v>
      </c>
      <c r="AM149">
        <f t="shared" si="62"/>
        <v>32745.7</v>
      </c>
      <c r="AN149">
        <f aca="true" t="shared" si="63" ref="AN149:AS149">AN101+AN103</f>
        <v>26018</v>
      </c>
      <c r="AO149">
        <f t="shared" si="63"/>
        <v>16598</v>
      </c>
      <c r="AP149">
        <f t="shared" si="63"/>
        <v>25955.4</v>
      </c>
      <c r="AQ149">
        <f t="shared" si="63"/>
        <v>20125</v>
      </c>
      <c r="AR149">
        <f t="shared" si="63"/>
        <v>22512</v>
      </c>
      <c r="AS149">
        <f t="shared" si="63"/>
        <v>0</v>
      </c>
      <c r="AT149">
        <f>AT101+AT103</f>
        <v>0</v>
      </c>
      <c r="AU149">
        <f>AU101+AU103</f>
        <v>0</v>
      </c>
    </row>
    <row r="150" spans="1:47" ht="12.75">
      <c r="A150" s="76" t="s">
        <v>146</v>
      </c>
      <c r="B150">
        <f aca="true" t="shared" si="64" ref="B150:AL150">B104</f>
        <v>16.6</v>
      </c>
      <c r="C150">
        <f t="shared" si="64"/>
        <v>18.8</v>
      </c>
      <c r="D150">
        <f t="shared" si="64"/>
        <v>18</v>
      </c>
      <c r="E150">
        <f t="shared" si="64"/>
        <v>17.4</v>
      </c>
      <c r="F150">
        <f t="shared" si="64"/>
        <v>21.4</v>
      </c>
      <c r="G150">
        <f t="shared" si="64"/>
        <v>23.5</v>
      </c>
      <c r="H150">
        <f t="shared" si="64"/>
        <v>30.5</v>
      </c>
      <c r="I150">
        <f t="shared" si="64"/>
        <v>34.599999999999994</v>
      </c>
      <c r="J150">
        <f t="shared" si="64"/>
        <v>42.2</v>
      </c>
      <c r="K150">
        <f t="shared" si="64"/>
        <v>52.6</v>
      </c>
      <c r="L150">
        <f t="shared" si="64"/>
        <v>59.9</v>
      </c>
      <c r="M150">
        <f t="shared" si="64"/>
        <v>71.6</v>
      </c>
      <c r="N150">
        <f t="shared" si="64"/>
        <v>80.6</v>
      </c>
      <c r="O150">
        <f t="shared" si="64"/>
        <v>99.4</v>
      </c>
      <c r="P150">
        <f t="shared" si="64"/>
        <v>131.2</v>
      </c>
      <c r="Q150">
        <f t="shared" si="64"/>
        <v>157.8</v>
      </c>
      <c r="R150">
        <f t="shared" si="64"/>
        <v>270.8</v>
      </c>
      <c r="S150">
        <f t="shared" si="64"/>
        <v>342.9</v>
      </c>
      <c r="T150">
        <f t="shared" si="64"/>
        <v>443.59999999999997</v>
      </c>
      <c r="U150">
        <f t="shared" si="64"/>
        <v>465.9</v>
      </c>
      <c r="V150">
        <f t="shared" si="64"/>
        <v>368.3</v>
      </c>
      <c r="W150">
        <f t="shared" si="64"/>
        <v>340.4</v>
      </c>
      <c r="X150">
        <f t="shared" si="64"/>
        <v>554.0999999999999</v>
      </c>
      <c r="Y150">
        <f t="shared" si="64"/>
        <v>613.9</v>
      </c>
      <c r="Z150">
        <f t="shared" si="64"/>
        <v>796.5</v>
      </c>
      <c r="AA150">
        <f t="shared" si="64"/>
        <v>898.7</v>
      </c>
      <c r="AB150">
        <f t="shared" si="64"/>
        <v>1033.7</v>
      </c>
      <c r="AC150">
        <f t="shared" si="64"/>
        <v>1024.6</v>
      </c>
      <c r="AD150">
        <f t="shared" si="64"/>
        <v>1030.1999999999998</v>
      </c>
      <c r="AE150">
        <f t="shared" si="64"/>
        <v>986.5</v>
      </c>
      <c r="AF150">
        <f t="shared" si="64"/>
        <v>1187.8</v>
      </c>
      <c r="AG150">
        <f t="shared" si="64"/>
        <v>1695</v>
      </c>
      <c r="AH150">
        <f t="shared" si="64"/>
        <v>2765.2</v>
      </c>
      <c r="AI150">
        <f t="shared" si="64"/>
        <v>3775.5</v>
      </c>
      <c r="AJ150">
        <f t="shared" si="64"/>
        <v>4061.2999999999997</v>
      </c>
      <c r="AK150">
        <f t="shared" si="64"/>
        <v>5490.799999999999</v>
      </c>
      <c r="AL150">
        <f t="shared" si="64"/>
        <v>7312.999999999999</v>
      </c>
      <c r="AM150">
        <f>AM104</f>
        <v>12560.2</v>
      </c>
      <c r="AN150">
        <f aca="true" t="shared" si="65" ref="AN150:AS150">AN104</f>
        <v>17344.6</v>
      </c>
      <c r="AO150">
        <f t="shared" si="65"/>
        <v>18686.6</v>
      </c>
      <c r="AP150">
        <f t="shared" si="65"/>
        <v>25831.3</v>
      </c>
      <c r="AQ150">
        <f t="shared" si="65"/>
        <v>32842.100000000006</v>
      </c>
      <c r="AR150">
        <f t="shared" si="65"/>
        <v>38796.7</v>
      </c>
      <c r="AS150">
        <f t="shared" si="65"/>
        <v>0</v>
      </c>
      <c r="AT150">
        <f>AT104</f>
        <v>0</v>
      </c>
      <c r="AU150">
        <f>AU104</f>
        <v>0</v>
      </c>
    </row>
    <row r="151" spans="1:47" ht="12.75">
      <c r="A151" s="76" t="s">
        <v>147</v>
      </c>
      <c r="B151">
        <f aca="true" t="shared" si="66" ref="B151:AL151">B69</f>
        <v>3.7</v>
      </c>
      <c r="C151">
        <f t="shared" si="66"/>
        <v>4.4</v>
      </c>
      <c r="D151">
        <f t="shared" si="66"/>
        <v>4.5</v>
      </c>
      <c r="E151">
        <f t="shared" si="66"/>
        <v>4.7</v>
      </c>
      <c r="F151">
        <f t="shared" si="66"/>
        <v>5.9</v>
      </c>
      <c r="G151">
        <f t="shared" si="66"/>
        <v>5.4</v>
      </c>
      <c r="H151">
        <f t="shared" si="66"/>
        <v>8.3</v>
      </c>
      <c r="I151">
        <f t="shared" si="66"/>
        <v>9.2</v>
      </c>
      <c r="J151">
        <f t="shared" si="66"/>
        <v>14</v>
      </c>
      <c r="K151">
        <f>K69+0.068</f>
        <v>17.6</v>
      </c>
      <c r="L151">
        <f>L69+0.071</f>
        <v>21.200000000000003</v>
      </c>
      <c r="M151">
        <f>M69+1</f>
        <v>27.1</v>
      </c>
      <c r="N151">
        <f t="shared" si="66"/>
        <v>30.2</v>
      </c>
      <c r="O151">
        <f t="shared" si="66"/>
        <v>39.2</v>
      </c>
      <c r="P151">
        <f t="shared" si="66"/>
        <v>52.9</v>
      </c>
      <c r="Q151">
        <f t="shared" si="66"/>
        <v>72.20000000000002</v>
      </c>
      <c r="R151">
        <f t="shared" si="66"/>
        <v>151.9</v>
      </c>
      <c r="S151">
        <f t="shared" si="66"/>
        <v>187.8</v>
      </c>
      <c r="T151">
        <f t="shared" si="66"/>
        <v>230.29999999999998</v>
      </c>
      <c r="U151">
        <f t="shared" si="66"/>
        <v>269.5</v>
      </c>
      <c r="V151">
        <f t="shared" si="66"/>
        <v>228.10000000000002</v>
      </c>
      <c r="W151">
        <f t="shared" si="66"/>
        <v>129.20000000000002</v>
      </c>
      <c r="X151">
        <f t="shared" si="66"/>
        <v>321.9</v>
      </c>
      <c r="Y151">
        <f t="shared" si="66"/>
        <v>295.5</v>
      </c>
      <c r="Z151">
        <f t="shared" si="66"/>
        <v>332.00000000000006</v>
      </c>
      <c r="AA151">
        <f t="shared" si="66"/>
        <v>404.70000000000005</v>
      </c>
      <c r="AB151">
        <f t="shared" si="66"/>
        <v>529.6</v>
      </c>
      <c r="AC151">
        <f t="shared" si="66"/>
        <v>579.8</v>
      </c>
      <c r="AD151">
        <f t="shared" si="66"/>
        <v>612.3</v>
      </c>
      <c r="AE151">
        <f t="shared" si="66"/>
        <v>646</v>
      </c>
      <c r="AF151">
        <f t="shared" si="66"/>
        <v>659.7</v>
      </c>
      <c r="AG151">
        <f t="shared" si="66"/>
        <v>923.5999999999999</v>
      </c>
      <c r="AH151">
        <f t="shared" si="66"/>
        <v>1396</v>
      </c>
      <c r="AI151">
        <f t="shared" si="66"/>
        <v>1991.3</v>
      </c>
      <c r="AJ151">
        <f t="shared" si="66"/>
        <v>2615.7</v>
      </c>
      <c r="AK151">
        <f t="shared" si="66"/>
        <v>3854.2</v>
      </c>
      <c r="AL151">
        <f t="shared" si="66"/>
        <v>5648.799999999999</v>
      </c>
      <c r="AM151">
        <f>AM69</f>
        <v>8970.6</v>
      </c>
      <c r="AN151">
        <f aca="true" t="shared" si="67" ref="AN151:AS151">AN69</f>
        <v>11053</v>
      </c>
      <c r="AO151">
        <f t="shared" si="67"/>
        <v>12676.300000000001</v>
      </c>
      <c r="AP151">
        <f t="shared" si="67"/>
        <v>16584</v>
      </c>
      <c r="AQ151">
        <f t="shared" si="67"/>
        <v>19584.7</v>
      </c>
      <c r="AR151">
        <f t="shared" si="67"/>
        <v>22986.3</v>
      </c>
      <c r="AS151">
        <f t="shared" si="67"/>
        <v>0</v>
      </c>
      <c r="AT151">
        <f>AT69</f>
        <v>0</v>
      </c>
      <c r="AU151">
        <f>AU69</f>
        <v>0</v>
      </c>
    </row>
    <row r="152" spans="1:47" ht="12.75">
      <c r="A152" s="76" t="s">
        <v>148</v>
      </c>
      <c r="B152">
        <f aca="true" t="shared" si="68" ref="B152:AL152">B92</f>
        <v>12.9</v>
      </c>
      <c r="C152">
        <f t="shared" si="68"/>
        <v>14.4</v>
      </c>
      <c r="D152">
        <f t="shared" si="68"/>
        <v>13.5</v>
      </c>
      <c r="E152">
        <f t="shared" si="68"/>
        <v>12.7</v>
      </c>
      <c r="F152">
        <f t="shared" si="68"/>
        <v>15.5</v>
      </c>
      <c r="G152">
        <f t="shared" si="68"/>
        <v>18.1</v>
      </c>
      <c r="H152">
        <f t="shared" si="68"/>
        <v>22.2</v>
      </c>
      <c r="I152">
        <f t="shared" si="68"/>
        <v>25.4</v>
      </c>
      <c r="J152">
        <f t="shared" si="68"/>
        <v>28.2</v>
      </c>
      <c r="K152">
        <f t="shared" si="68"/>
        <v>35</v>
      </c>
      <c r="L152">
        <f t="shared" si="68"/>
        <v>38.7</v>
      </c>
      <c r="M152">
        <f>M92+1.5</f>
        <v>44.5</v>
      </c>
      <c r="N152">
        <f t="shared" si="68"/>
        <v>50.4</v>
      </c>
      <c r="O152">
        <f t="shared" si="68"/>
        <v>60.2</v>
      </c>
      <c r="P152">
        <f t="shared" si="68"/>
        <v>78.3</v>
      </c>
      <c r="Q152">
        <f t="shared" si="68"/>
        <v>85.6</v>
      </c>
      <c r="R152">
        <f t="shared" si="68"/>
        <v>118.89999999999999</v>
      </c>
      <c r="S152">
        <f t="shared" si="68"/>
        <v>155.09999999999997</v>
      </c>
      <c r="T152">
        <f t="shared" si="68"/>
        <v>213.29999999999998</v>
      </c>
      <c r="U152">
        <f t="shared" si="68"/>
        <v>196.39999999999998</v>
      </c>
      <c r="V152">
        <f t="shared" si="68"/>
        <v>140.2</v>
      </c>
      <c r="W152">
        <f t="shared" si="68"/>
        <v>211.2</v>
      </c>
      <c r="X152">
        <f t="shared" si="68"/>
        <v>232.2</v>
      </c>
      <c r="Y152">
        <f t="shared" si="68"/>
        <v>318.4</v>
      </c>
      <c r="Z152">
        <f t="shared" si="68"/>
        <v>464.49999999999994</v>
      </c>
      <c r="AA152">
        <f t="shared" si="68"/>
        <v>494</v>
      </c>
      <c r="AB152">
        <f t="shared" si="68"/>
        <v>504.09999999999997</v>
      </c>
      <c r="AC152">
        <f t="shared" si="68"/>
        <v>444.8</v>
      </c>
      <c r="AD152">
        <f t="shared" si="68"/>
        <v>417.9</v>
      </c>
      <c r="AE152">
        <f t="shared" si="68"/>
        <v>340.5</v>
      </c>
      <c r="AF152">
        <f t="shared" si="68"/>
        <v>528.0999999999999</v>
      </c>
      <c r="AG152">
        <f t="shared" si="68"/>
        <v>771.4000000000001</v>
      </c>
      <c r="AH152">
        <f t="shared" si="68"/>
        <v>1369.1999999999998</v>
      </c>
      <c r="AI152">
        <f t="shared" si="68"/>
        <v>1784.2000000000003</v>
      </c>
      <c r="AJ152">
        <f t="shared" si="68"/>
        <v>1445.6</v>
      </c>
      <c r="AK152">
        <f t="shared" si="68"/>
        <v>1636.6</v>
      </c>
      <c r="AL152">
        <f t="shared" si="68"/>
        <v>1664.2</v>
      </c>
      <c r="AM152">
        <f>AM92</f>
        <v>3589.6</v>
      </c>
      <c r="AN152">
        <f aca="true" t="shared" si="69" ref="AN152:AS152">AN92</f>
        <v>6291.5999999999985</v>
      </c>
      <c r="AO152">
        <f t="shared" si="69"/>
        <v>6010.299999999999</v>
      </c>
      <c r="AP152">
        <f t="shared" si="69"/>
        <v>9247.3</v>
      </c>
      <c r="AQ152">
        <f t="shared" si="69"/>
        <v>13257.400000000001</v>
      </c>
      <c r="AR152">
        <f t="shared" si="69"/>
        <v>15810.4</v>
      </c>
      <c r="AS152">
        <f t="shared" si="69"/>
        <v>0</v>
      </c>
      <c r="AT152">
        <f>AT92</f>
        <v>0</v>
      </c>
      <c r="AU152">
        <f>AU92</f>
        <v>0</v>
      </c>
    </row>
    <row r="153" spans="1:47" ht="12.75">
      <c r="A153" s="76" t="s">
        <v>149</v>
      </c>
      <c r="B153">
        <v>10.9</v>
      </c>
      <c r="C153">
        <v>16.9</v>
      </c>
      <c r="D153">
        <v>21.9</v>
      </c>
      <c r="E153">
        <v>12.8</v>
      </c>
      <c r="F153">
        <f>F105-F108</f>
        <v>11.6</v>
      </c>
      <c r="G153">
        <f>G105-G108</f>
        <v>9.2</v>
      </c>
      <c r="H153">
        <f>H105-H108</f>
        <v>10.799999999999997</v>
      </c>
      <c r="I153">
        <f aca="true" t="shared" si="70" ref="I153:AR153">I105-I108</f>
        <v>17.199999999999996</v>
      </c>
      <c r="J153">
        <f t="shared" si="70"/>
        <v>11.600000000000001</v>
      </c>
      <c r="K153">
        <f t="shared" si="70"/>
        <v>12.9</v>
      </c>
      <c r="L153">
        <f t="shared" si="70"/>
        <v>12.799999999999999</v>
      </c>
      <c r="M153">
        <f t="shared" si="70"/>
        <v>15.6</v>
      </c>
      <c r="N153">
        <f t="shared" si="70"/>
        <v>22.4</v>
      </c>
      <c r="O153">
        <f t="shared" si="70"/>
        <v>24.5</v>
      </c>
      <c r="P153">
        <f t="shared" si="70"/>
        <v>22.299999999999997</v>
      </c>
      <c r="Q153">
        <f t="shared" si="70"/>
        <v>31.400000000000002</v>
      </c>
      <c r="R153">
        <f t="shared" si="70"/>
        <v>64.5</v>
      </c>
      <c r="S153">
        <f t="shared" si="70"/>
        <v>72</v>
      </c>
      <c r="T153">
        <f t="shared" si="70"/>
        <v>92.8</v>
      </c>
      <c r="U153">
        <f t="shared" si="70"/>
        <v>119.80000000000001</v>
      </c>
      <c r="V153">
        <f t="shared" si="70"/>
        <v>111.6</v>
      </c>
      <c r="W153">
        <f t="shared" si="70"/>
        <v>96.69999999999999</v>
      </c>
      <c r="X153">
        <f t="shared" si="70"/>
        <v>159.6</v>
      </c>
      <c r="Y153">
        <f t="shared" si="70"/>
        <v>198.5</v>
      </c>
      <c r="Z153">
        <f t="shared" si="70"/>
        <v>192.10000000000002</v>
      </c>
      <c r="AA153">
        <f t="shared" si="70"/>
        <v>408.4</v>
      </c>
      <c r="AB153">
        <f t="shared" si="70"/>
        <v>355.1</v>
      </c>
      <c r="AC153">
        <f t="shared" si="70"/>
        <v>247.99999999999997</v>
      </c>
      <c r="AD153">
        <f t="shared" si="70"/>
        <v>288.09999999999997</v>
      </c>
      <c r="AE153">
        <f t="shared" si="70"/>
        <v>289.59999999999997</v>
      </c>
      <c r="AF153">
        <f t="shared" si="70"/>
        <v>471.70000000000005</v>
      </c>
      <c r="AG153">
        <f t="shared" si="70"/>
        <v>562.4</v>
      </c>
      <c r="AH153">
        <f t="shared" si="70"/>
        <v>618.9</v>
      </c>
      <c r="AI153">
        <f t="shared" si="70"/>
        <v>963.0999999999999</v>
      </c>
      <c r="AJ153">
        <f t="shared" si="70"/>
        <v>1506.2</v>
      </c>
      <c r="AK153">
        <f t="shared" si="70"/>
        <v>2274</v>
      </c>
      <c r="AL153">
        <f t="shared" si="70"/>
        <v>4831.2</v>
      </c>
      <c r="AM153">
        <f t="shared" si="70"/>
        <v>6408.7</v>
      </c>
      <c r="AN153">
        <f t="shared" si="70"/>
        <v>8586.8</v>
      </c>
      <c r="AO153">
        <f t="shared" si="70"/>
        <v>12319.500000000002</v>
      </c>
      <c r="AP153">
        <f t="shared" si="70"/>
        <v>21996.8</v>
      </c>
      <c r="AQ153">
        <f t="shared" si="70"/>
        <v>12350.199999999997</v>
      </c>
      <c r="AR153">
        <f t="shared" si="70"/>
        <v>11725.700000000004</v>
      </c>
      <c r="AS153">
        <f>AS105-AS108</f>
        <v>0</v>
      </c>
      <c r="AT153">
        <f>AT105-AT108</f>
        <v>0</v>
      </c>
      <c r="AU153">
        <f>AU105-AU108</f>
        <v>0</v>
      </c>
    </row>
    <row r="154" spans="1:47" ht="12.75">
      <c r="A154" s="76" t="s">
        <v>150</v>
      </c>
      <c r="B154">
        <f aca="true" t="shared" si="71" ref="B154:AE154">B108</f>
        <v>0</v>
      </c>
      <c r="C154">
        <f t="shared" si="71"/>
        <v>0</v>
      </c>
      <c r="D154">
        <f t="shared" si="71"/>
        <v>0</v>
      </c>
      <c r="E154">
        <f t="shared" si="71"/>
        <v>0</v>
      </c>
      <c r="F154">
        <f t="shared" si="71"/>
        <v>0</v>
      </c>
      <c r="G154">
        <f t="shared" si="71"/>
        <v>0</v>
      </c>
      <c r="H154">
        <f t="shared" si="71"/>
        <v>0</v>
      </c>
      <c r="I154">
        <f t="shared" si="71"/>
        <v>0</v>
      </c>
      <c r="J154">
        <f t="shared" si="71"/>
        <v>0</v>
      </c>
      <c r="K154">
        <f t="shared" si="71"/>
        <v>0</v>
      </c>
      <c r="L154">
        <f t="shared" si="71"/>
        <v>0</v>
      </c>
      <c r="M154">
        <f t="shared" si="71"/>
        <v>0</v>
      </c>
      <c r="N154">
        <f t="shared" si="71"/>
        <v>0</v>
      </c>
      <c r="O154">
        <f t="shared" si="71"/>
        <v>0</v>
      </c>
      <c r="P154">
        <f t="shared" si="71"/>
        <v>0</v>
      </c>
      <c r="Q154">
        <f t="shared" si="71"/>
        <v>0</v>
      </c>
      <c r="R154">
        <f t="shared" si="71"/>
        <v>0</v>
      </c>
      <c r="S154">
        <f t="shared" si="71"/>
        <v>0</v>
      </c>
      <c r="T154">
        <f t="shared" si="71"/>
        <v>0</v>
      </c>
      <c r="U154">
        <f t="shared" si="71"/>
        <v>0</v>
      </c>
      <c r="V154">
        <f t="shared" si="71"/>
        <v>0</v>
      </c>
      <c r="W154">
        <f t="shared" si="71"/>
        <v>0</v>
      </c>
      <c r="X154">
        <f t="shared" si="71"/>
        <v>0</v>
      </c>
      <c r="Y154">
        <f t="shared" si="71"/>
        <v>0</v>
      </c>
      <c r="Z154">
        <f t="shared" si="71"/>
        <v>5.7</v>
      </c>
      <c r="AA154">
        <f t="shared" si="71"/>
        <v>34.5</v>
      </c>
      <c r="AB154">
        <f t="shared" si="71"/>
        <v>88.7</v>
      </c>
      <c r="AC154">
        <f t="shared" si="71"/>
        <v>17.9</v>
      </c>
      <c r="AD154">
        <f t="shared" si="71"/>
        <v>87</v>
      </c>
      <c r="AE154">
        <f t="shared" si="71"/>
        <v>141.5</v>
      </c>
      <c r="AF154">
        <f>AF108</f>
        <v>744.3</v>
      </c>
      <c r="AG154">
        <f aca="true" t="shared" si="72" ref="AG154:AM154">AG102+AG108</f>
        <v>2256.8</v>
      </c>
      <c r="AH154">
        <f t="shared" si="72"/>
        <v>2510.7</v>
      </c>
      <c r="AI154">
        <f t="shared" si="72"/>
        <v>4077.5</v>
      </c>
      <c r="AJ154">
        <f t="shared" si="72"/>
        <v>4775</v>
      </c>
      <c r="AK154">
        <f t="shared" si="72"/>
        <v>0</v>
      </c>
      <c r="AL154">
        <f t="shared" si="72"/>
        <v>2765</v>
      </c>
      <c r="AM154">
        <f t="shared" si="72"/>
        <v>5407.3</v>
      </c>
      <c r="AN154">
        <f aca="true" t="shared" si="73" ref="AN154:AS154">AN102+AN108</f>
        <v>10428.7</v>
      </c>
      <c r="AO154">
        <f t="shared" si="73"/>
        <v>6021.9</v>
      </c>
      <c r="AP154">
        <f t="shared" si="73"/>
        <v>18532.2</v>
      </c>
      <c r="AQ154">
        <f t="shared" si="73"/>
        <v>39323.5</v>
      </c>
      <c r="AR154">
        <f t="shared" si="73"/>
        <v>52445.1</v>
      </c>
      <c r="AS154">
        <f t="shared" si="73"/>
        <v>0</v>
      </c>
      <c r="AT154">
        <f>AT102+AT108</f>
        <v>0</v>
      </c>
      <c r="AU154">
        <f>AU102+AU108</f>
        <v>0</v>
      </c>
    </row>
    <row r="155" spans="1:47" ht="12.75">
      <c r="A155" s="76" t="s">
        <v>151</v>
      </c>
      <c r="B155">
        <v>11.8</v>
      </c>
      <c r="C155">
        <v>15.4</v>
      </c>
      <c r="D155">
        <v>18.8</v>
      </c>
      <c r="E155">
        <v>17.7</v>
      </c>
      <c r="F155" s="83">
        <v>12.7</v>
      </c>
      <c r="G155" s="83">
        <v>11.35</v>
      </c>
      <c r="H155" s="83">
        <v>2</v>
      </c>
      <c r="I155" s="83">
        <v>5.8</v>
      </c>
      <c r="J155" s="83">
        <v>7.4</v>
      </c>
      <c r="K155" s="83">
        <v>9.4</v>
      </c>
      <c r="L155" s="83">
        <v>12.5</v>
      </c>
      <c r="M155" s="83">
        <v>11.4</v>
      </c>
      <c r="N155" s="83">
        <v>12</v>
      </c>
      <c r="O155" s="83">
        <v>15</v>
      </c>
      <c r="P155" s="83">
        <v>19.6</v>
      </c>
      <c r="Q155" s="83">
        <v>24.7</v>
      </c>
      <c r="R155" s="83">
        <v>35.5</v>
      </c>
      <c r="S155" s="83">
        <v>46.7</v>
      </c>
      <c r="T155" s="83">
        <v>68.3</v>
      </c>
      <c r="U155" s="83">
        <v>138.4</v>
      </c>
      <c r="V155" s="83">
        <v>82.1</v>
      </c>
      <c r="W155" s="83">
        <v>105.1</v>
      </c>
      <c r="X155" s="83">
        <v>154.1</v>
      </c>
      <c r="Y155" s="83">
        <v>199.3</v>
      </c>
      <c r="Z155" s="83">
        <v>222.6</v>
      </c>
      <c r="AA155" s="83">
        <v>277.9</v>
      </c>
      <c r="AB155" s="83">
        <v>302.3</v>
      </c>
      <c r="AC155" s="83">
        <v>308.8</v>
      </c>
      <c r="AD155" s="83">
        <v>342.4</v>
      </c>
      <c r="AE155" s="83">
        <v>414.6</v>
      </c>
      <c r="AF155" s="83">
        <v>449.9</v>
      </c>
      <c r="AG155" s="83">
        <v>628.3</v>
      </c>
      <c r="AH155" s="83">
        <v>917.3</v>
      </c>
      <c r="AI155" s="83">
        <v>1284.2</v>
      </c>
      <c r="AJ155" s="83">
        <v>1765.3</v>
      </c>
      <c r="AK155" s="83">
        <v>1808.8</v>
      </c>
      <c r="AL155" s="83">
        <v>3581.4</v>
      </c>
      <c r="AM155" s="74">
        <v>4780.3</v>
      </c>
      <c r="AN155" s="74">
        <v>5940.6</v>
      </c>
      <c r="AO155" s="74">
        <v>8931.2</v>
      </c>
      <c r="AP155" s="74">
        <v>11574.7</v>
      </c>
      <c r="AQ155" s="74">
        <v>15968.3</v>
      </c>
      <c r="AR155" s="74">
        <v>22716.6</v>
      </c>
      <c r="AS155" s="74">
        <v>32988.2</v>
      </c>
      <c r="AT155" s="74">
        <v>32988.2</v>
      </c>
      <c r="AU155" s="74">
        <v>32988.2</v>
      </c>
    </row>
    <row r="156" spans="1:47" ht="12.75">
      <c r="A156" s="76" t="s">
        <v>152</v>
      </c>
      <c r="B156">
        <v>58.9</v>
      </c>
      <c r="C156">
        <v>72.5</v>
      </c>
      <c r="D156">
        <v>80.5</v>
      </c>
      <c r="E156">
        <v>72.8</v>
      </c>
      <c r="F156">
        <f>F99+F155</f>
        <v>73.4</v>
      </c>
      <c r="G156">
        <f aca="true" t="shared" si="74" ref="G156:AS156">G99+G155</f>
        <v>80.44999999999999</v>
      </c>
      <c r="H156">
        <f t="shared" si="74"/>
        <v>93.3</v>
      </c>
      <c r="I156">
        <f t="shared" si="74"/>
        <v>104.99999999999999</v>
      </c>
      <c r="J156">
        <f t="shared" si="74"/>
        <v>115.20000000000002</v>
      </c>
      <c r="K156">
        <f t="shared" si="74"/>
        <v>136.70000000000002</v>
      </c>
      <c r="L156">
        <f t="shared" si="74"/>
        <v>161.60000000000002</v>
      </c>
      <c r="M156">
        <f t="shared" si="74"/>
        <v>183.7</v>
      </c>
      <c r="N156">
        <f t="shared" si="74"/>
        <v>270.3</v>
      </c>
      <c r="O156">
        <f t="shared" si="74"/>
        <v>317.1</v>
      </c>
      <c r="P156">
        <f t="shared" si="74"/>
        <v>484.40000000000003</v>
      </c>
      <c r="Q156">
        <f t="shared" si="74"/>
        <v>1419.1000000000001</v>
      </c>
      <c r="R156">
        <f t="shared" si="74"/>
        <v>1617.6</v>
      </c>
      <c r="S156">
        <f t="shared" si="74"/>
        <v>1883.1000000000001</v>
      </c>
      <c r="T156">
        <f t="shared" si="74"/>
        <v>2102.5</v>
      </c>
      <c r="U156">
        <f t="shared" si="74"/>
        <v>1737.3</v>
      </c>
      <c r="V156">
        <f t="shared" si="74"/>
        <v>1781.6999999999998</v>
      </c>
      <c r="W156">
        <f t="shared" si="74"/>
        <v>1430.9999999999998</v>
      </c>
      <c r="X156">
        <f t="shared" si="74"/>
        <v>1924.1999999999998</v>
      </c>
      <c r="Y156">
        <f t="shared" si="74"/>
        <v>2701.2000000000003</v>
      </c>
      <c r="Z156">
        <f t="shared" si="74"/>
        <v>2996.3</v>
      </c>
      <c r="AA156">
        <f t="shared" si="74"/>
        <v>2992.6000000000004</v>
      </c>
      <c r="AB156">
        <f t="shared" si="74"/>
        <v>2968.5000000000005</v>
      </c>
      <c r="AC156">
        <f t="shared" si="74"/>
        <v>2016.0999999999997</v>
      </c>
      <c r="AD156">
        <f t="shared" si="74"/>
        <v>2513.9</v>
      </c>
      <c r="AE156">
        <f t="shared" si="74"/>
        <v>2500</v>
      </c>
      <c r="AF156">
        <f t="shared" si="74"/>
        <v>3624.5</v>
      </c>
      <c r="AG156">
        <f t="shared" si="74"/>
        <v>6260.800000000001</v>
      </c>
      <c r="AH156">
        <f t="shared" si="74"/>
        <v>7850.8</v>
      </c>
      <c r="AI156">
        <f t="shared" si="74"/>
        <v>11168.7</v>
      </c>
      <c r="AJ156">
        <f t="shared" si="74"/>
        <v>22016</v>
      </c>
      <c r="AK156">
        <f t="shared" si="74"/>
        <v>31053.3</v>
      </c>
      <c r="AL156">
        <f t="shared" si="74"/>
        <v>45156.799999999996</v>
      </c>
      <c r="AM156">
        <f t="shared" si="74"/>
        <v>61902.200000000004</v>
      </c>
      <c r="AN156">
        <f t="shared" si="74"/>
        <v>68318.7</v>
      </c>
      <c r="AO156">
        <f t="shared" si="74"/>
        <v>62557.2</v>
      </c>
      <c r="AP156">
        <f t="shared" si="74"/>
        <v>103890.4</v>
      </c>
      <c r="AQ156">
        <f t="shared" si="74"/>
        <v>120609.1</v>
      </c>
      <c r="AR156">
        <f t="shared" si="74"/>
        <v>148196.1</v>
      </c>
      <c r="AS156">
        <f t="shared" si="74"/>
        <v>32988.2</v>
      </c>
      <c r="AT156">
        <f>AT99+AT155</f>
        <v>32988.2</v>
      </c>
      <c r="AU156">
        <f>AU99+AU155</f>
        <v>32988.2</v>
      </c>
    </row>
    <row r="157" spans="1:47" ht="12.75">
      <c r="A157" s="76" t="s">
        <v>153</v>
      </c>
      <c r="B157">
        <v>30.5</v>
      </c>
      <c r="C157">
        <v>37.1</v>
      </c>
      <c r="D157">
        <v>38.9</v>
      </c>
      <c r="E157">
        <v>41.6</v>
      </c>
      <c r="F157">
        <f aca="true" t="shared" si="75" ref="F157:AL157">F113</f>
        <v>48.3</v>
      </c>
      <c r="G157">
        <f t="shared" si="75"/>
        <v>53.50000000000001</v>
      </c>
      <c r="H157">
        <f t="shared" si="75"/>
        <v>61.7</v>
      </c>
      <c r="I157">
        <f t="shared" si="75"/>
        <v>70.5</v>
      </c>
      <c r="J157">
        <f t="shared" si="75"/>
        <v>73.2</v>
      </c>
      <c r="K157">
        <f t="shared" si="75"/>
        <v>88.7</v>
      </c>
      <c r="L157">
        <f t="shared" si="75"/>
        <v>103</v>
      </c>
      <c r="M157">
        <f t="shared" si="75"/>
        <v>121.79999999999998</v>
      </c>
      <c r="N157">
        <f t="shared" si="75"/>
        <v>199.4</v>
      </c>
      <c r="O157">
        <f t="shared" si="75"/>
        <v>227.3</v>
      </c>
      <c r="P157">
        <f t="shared" si="75"/>
        <v>370.2</v>
      </c>
      <c r="Q157">
        <f t="shared" si="75"/>
        <v>825.8</v>
      </c>
      <c r="R157">
        <f t="shared" si="75"/>
        <v>969.4</v>
      </c>
      <c r="S157">
        <f t="shared" si="75"/>
        <v>1083.8</v>
      </c>
      <c r="T157">
        <f t="shared" si="75"/>
        <v>1248.1</v>
      </c>
      <c r="U157">
        <f t="shared" si="75"/>
        <v>1387.1000000000001</v>
      </c>
      <c r="V157">
        <f t="shared" si="75"/>
        <v>1552</v>
      </c>
      <c r="W157">
        <f t="shared" si="75"/>
        <v>1727.8</v>
      </c>
      <c r="X157">
        <f t="shared" si="75"/>
        <v>2032.3999999999999</v>
      </c>
      <c r="Y157">
        <f t="shared" si="75"/>
        <v>2252.6</v>
      </c>
      <c r="Z157">
        <f t="shared" si="75"/>
        <v>2523.7</v>
      </c>
      <c r="AA157">
        <f t="shared" si="75"/>
        <v>2475.6</v>
      </c>
      <c r="AB157">
        <f t="shared" si="75"/>
        <v>2548.1</v>
      </c>
      <c r="AC157">
        <f t="shared" si="75"/>
        <v>2410.3</v>
      </c>
      <c r="AD157">
        <f t="shared" si="75"/>
        <v>2911.3999999999996</v>
      </c>
      <c r="AE157">
        <f t="shared" si="75"/>
        <v>3394.2</v>
      </c>
      <c r="AF157">
        <f t="shared" si="75"/>
        <v>3385.2</v>
      </c>
      <c r="AG157">
        <f t="shared" si="75"/>
        <v>4284.799999999999</v>
      </c>
      <c r="AH157">
        <f t="shared" si="75"/>
        <v>5563.8</v>
      </c>
      <c r="AI157">
        <f t="shared" si="75"/>
        <v>7808.000000000001</v>
      </c>
      <c r="AJ157">
        <f t="shared" si="75"/>
        <v>13654.7</v>
      </c>
      <c r="AK157">
        <f t="shared" si="75"/>
        <v>19841.1</v>
      </c>
      <c r="AL157">
        <f t="shared" si="75"/>
        <v>28448.1</v>
      </c>
      <c r="AM157">
        <f>AM113</f>
        <v>37571.200000000004</v>
      </c>
      <c r="AN157">
        <f aca="true" t="shared" si="76" ref="AN157:AS157">AN113</f>
        <v>44966.9</v>
      </c>
      <c r="AO157">
        <f t="shared" si="76"/>
        <v>53545.6</v>
      </c>
      <c r="AP157">
        <f t="shared" si="76"/>
        <v>68219.3</v>
      </c>
      <c r="AQ157">
        <f t="shared" si="76"/>
        <v>85847.29999999999</v>
      </c>
      <c r="AR157">
        <f t="shared" si="76"/>
        <v>104772</v>
      </c>
      <c r="AS157">
        <f t="shared" si="76"/>
        <v>0</v>
      </c>
      <c r="AT157">
        <f>AT113</f>
        <v>0</v>
      </c>
      <c r="AU157">
        <f>AU113</f>
        <v>0</v>
      </c>
    </row>
    <row r="158" spans="1:47" ht="12.75">
      <c r="A158" s="76" t="s">
        <v>154</v>
      </c>
      <c r="B158">
        <v>14.3</v>
      </c>
      <c r="C158">
        <v>18.5</v>
      </c>
      <c r="D158">
        <v>19.5</v>
      </c>
      <c r="E158">
        <v>16.3</v>
      </c>
      <c r="F158">
        <f aca="true" t="shared" si="77" ref="F158:AL158">F120</f>
        <v>18.6</v>
      </c>
      <c r="G158">
        <f t="shared" si="77"/>
        <v>26.7</v>
      </c>
      <c r="H158">
        <f t="shared" si="77"/>
        <v>37</v>
      </c>
      <c r="I158">
        <f t="shared" si="77"/>
        <v>37.9</v>
      </c>
      <c r="J158">
        <f t="shared" si="77"/>
        <v>62.9</v>
      </c>
      <c r="K158">
        <f t="shared" si="77"/>
        <v>80</v>
      </c>
      <c r="L158">
        <f t="shared" si="77"/>
        <v>94.2</v>
      </c>
      <c r="M158">
        <f t="shared" si="77"/>
        <v>110</v>
      </c>
      <c r="N158">
        <f t="shared" si="77"/>
        <v>116</v>
      </c>
      <c r="O158">
        <f t="shared" si="77"/>
        <v>131.8</v>
      </c>
      <c r="P158">
        <f t="shared" si="77"/>
        <v>161.2</v>
      </c>
      <c r="Q158">
        <f t="shared" si="77"/>
        <v>348.7</v>
      </c>
      <c r="R158">
        <f t="shared" si="77"/>
        <v>526.8</v>
      </c>
      <c r="S158">
        <f t="shared" si="77"/>
        <v>591.6</v>
      </c>
      <c r="T158">
        <f t="shared" si="77"/>
        <v>926.8</v>
      </c>
      <c r="U158">
        <f t="shared" si="77"/>
        <v>657.1</v>
      </c>
      <c r="V158">
        <f t="shared" si="77"/>
        <v>633.1</v>
      </c>
      <c r="W158">
        <f t="shared" si="77"/>
        <v>568.1</v>
      </c>
      <c r="X158">
        <f t="shared" si="77"/>
        <v>674.7</v>
      </c>
      <c r="Y158">
        <f t="shared" si="77"/>
        <v>914.8</v>
      </c>
      <c r="Z158">
        <f t="shared" si="77"/>
        <v>1148.6</v>
      </c>
      <c r="AA158">
        <f t="shared" si="77"/>
        <v>877.9000000000001</v>
      </c>
      <c r="AB158">
        <f t="shared" si="77"/>
        <v>765.1000000000001</v>
      </c>
      <c r="AC158">
        <f t="shared" si="77"/>
        <v>746.5000000000001</v>
      </c>
      <c r="AD158">
        <f t="shared" si="77"/>
        <v>729.2</v>
      </c>
      <c r="AE158">
        <f t="shared" si="77"/>
        <v>816.4000000000001</v>
      </c>
      <c r="AF158">
        <f t="shared" si="77"/>
        <v>931.5</v>
      </c>
      <c r="AG158">
        <f t="shared" si="77"/>
        <v>1766.2999999999997</v>
      </c>
      <c r="AH158">
        <f t="shared" si="77"/>
        <v>2526.9999999999995</v>
      </c>
      <c r="AI158">
        <f t="shared" si="77"/>
        <v>2948.7999999999997</v>
      </c>
      <c r="AJ158">
        <f t="shared" si="77"/>
        <v>7232.2</v>
      </c>
      <c r="AK158">
        <f t="shared" si="77"/>
        <v>9071.3</v>
      </c>
      <c r="AL158">
        <f t="shared" si="77"/>
        <v>12882.8</v>
      </c>
      <c r="AM158">
        <f>AM120</f>
        <v>19211.9</v>
      </c>
      <c r="AN158">
        <f aca="true" t="shared" si="78" ref="AN158:AS158">AN120</f>
        <v>20471.1</v>
      </c>
      <c r="AO158">
        <f t="shared" si="78"/>
        <v>17424.7</v>
      </c>
      <c r="AP158">
        <f t="shared" si="78"/>
        <v>25023.599999999995</v>
      </c>
      <c r="AQ158">
        <f t="shared" si="78"/>
        <v>23559.8</v>
      </c>
      <c r="AR158">
        <f t="shared" si="78"/>
        <v>24087.6</v>
      </c>
      <c r="AS158" t="e">
        <f t="shared" si="78"/>
        <v>#VALUE!</v>
      </c>
      <c r="AT158" t="e">
        <f>AT120</f>
        <v>#VALUE!</v>
      </c>
      <c r="AU158" t="e">
        <f>AU120</f>
        <v>#VALUE!</v>
      </c>
    </row>
    <row r="159" spans="1:47" s="83" customFormat="1" ht="12.75">
      <c r="A159" s="82" t="s">
        <v>155</v>
      </c>
      <c r="B159" s="83">
        <f>B155</f>
        <v>11.8</v>
      </c>
      <c r="C159" s="83">
        <f aca="true" t="shared" si="79" ref="C159:AS159">C155</f>
        <v>15.4</v>
      </c>
      <c r="D159" s="83">
        <f t="shared" si="79"/>
        <v>18.8</v>
      </c>
      <c r="E159" s="83">
        <f t="shared" si="79"/>
        <v>17.7</v>
      </c>
      <c r="F159" s="83">
        <f t="shared" si="79"/>
        <v>12.7</v>
      </c>
      <c r="G159" s="83">
        <f t="shared" si="79"/>
        <v>11.35</v>
      </c>
      <c r="H159" s="83">
        <f t="shared" si="79"/>
        <v>2</v>
      </c>
      <c r="I159" s="83">
        <f t="shared" si="79"/>
        <v>5.8</v>
      </c>
      <c r="J159" s="83">
        <f t="shared" si="79"/>
        <v>7.4</v>
      </c>
      <c r="K159" s="83">
        <f t="shared" si="79"/>
        <v>9.4</v>
      </c>
      <c r="L159" s="83">
        <f t="shared" si="79"/>
        <v>12.5</v>
      </c>
      <c r="M159" s="83">
        <f t="shared" si="79"/>
        <v>11.4</v>
      </c>
      <c r="N159" s="83">
        <f t="shared" si="79"/>
        <v>12</v>
      </c>
      <c r="O159" s="83">
        <f t="shared" si="79"/>
        <v>15</v>
      </c>
      <c r="P159" s="83">
        <f t="shared" si="79"/>
        <v>19.6</v>
      </c>
      <c r="Q159" s="83">
        <f t="shared" si="79"/>
        <v>24.7</v>
      </c>
      <c r="R159" s="83">
        <f t="shared" si="79"/>
        <v>35.5</v>
      </c>
      <c r="S159" s="83">
        <f t="shared" si="79"/>
        <v>46.7</v>
      </c>
      <c r="T159" s="83">
        <f t="shared" si="79"/>
        <v>68.3</v>
      </c>
      <c r="U159" s="83">
        <f t="shared" si="79"/>
        <v>138.4</v>
      </c>
      <c r="V159" s="83">
        <f t="shared" si="79"/>
        <v>82.1</v>
      </c>
      <c r="W159" s="83">
        <f t="shared" si="79"/>
        <v>105.1</v>
      </c>
      <c r="X159" s="83">
        <f t="shared" si="79"/>
        <v>154.1</v>
      </c>
      <c r="Y159" s="83">
        <f t="shared" si="79"/>
        <v>199.3</v>
      </c>
      <c r="Z159" s="83">
        <f t="shared" si="79"/>
        <v>222.6</v>
      </c>
      <c r="AA159" s="83">
        <f t="shared" si="79"/>
        <v>277.9</v>
      </c>
      <c r="AB159" s="83">
        <f t="shared" si="79"/>
        <v>302.3</v>
      </c>
      <c r="AC159" s="83">
        <f t="shared" si="79"/>
        <v>308.8</v>
      </c>
      <c r="AD159" s="83">
        <f t="shared" si="79"/>
        <v>342.4</v>
      </c>
      <c r="AE159" s="83">
        <f t="shared" si="79"/>
        <v>414.6</v>
      </c>
      <c r="AF159" s="83">
        <f t="shared" si="79"/>
        <v>449.9</v>
      </c>
      <c r="AG159" s="83">
        <f t="shared" si="79"/>
        <v>628.3</v>
      </c>
      <c r="AH159" s="83">
        <f t="shared" si="79"/>
        <v>917.3</v>
      </c>
      <c r="AI159" s="83">
        <f t="shared" si="79"/>
        <v>1284.2</v>
      </c>
      <c r="AJ159" s="83">
        <f t="shared" si="79"/>
        <v>1765.3</v>
      </c>
      <c r="AK159" s="83">
        <f t="shared" si="79"/>
        <v>1808.8</v>
      </c>
      <c r="AL159" s="83">
        <f t="shared" si="79"/>
        <v>3581.4</v>
      </c>
      <c r="AM159" s="83">
        <f t="shared" si="79"/>
        <v>4780.3</v>
      </c>
      <c r="AN159" s="83">
        <f t="shared" si="79"/>
        <v>5940.6</v>
      </c>
      <c r="AO159" s="83">
        <f t="shared" si="79"/>
        <v>8931.2</v>
      </c>
      <c r="AP159" s="83">
        <f t="shared" si="79"/>
        <v>11574.7</v>
      </c>
      <c r="AQ159" s="83">
        <f t="shared" si="79"/>
        <v>15968.3</v>
      </c>
      <c r="AR159" s="83">
        <f t="shared" si="79"/>
        <v>22716.6</v>
      </c>
      <c r="AS159" s="83">
        <f t="shared" si="79"/>
        <v>32988.2</v>
      </c>
      <c r="AT159" s="83">
        <f>AT155</f>
        <v>32988.2</v>
      </c>
      <c r="AU159" s="83">
        <f>AU155</f>
        <v>32988.2</v>
      </c>
    </row>
    <row r="160" spans="1:47" ht="12.75">
      <c r="A160" s="76" t="s">
        <v>156</v>
      </c>
      <c r="B160">
        <f aca="true" t="shared" si="80" ref="B160:AL160">B125+B124</f>
        <v>0</v>
      </c>
      <c r="C160">
        <f t="shared" si="80"/>
        <v>0</v>
      </c>
      <c r="D160">
        <f t="shared" si="80"/>
        <v>0</v>
      </c>
      <c r="E160">
        <f t="shared" si="80"/>
        <v>0</v>
      </c>
      <c r="F160">
        <f t="shared" si="80"/>
        <v>0</v>
      </c>
      <c r="G160">
        <f t="shared" si="80"/>
        <v>0</v>
      </c>
      <c r="H160">
        <f t="shared" si="80"/>
        <v>0</v>
      </c>
      <c r="I160">
        <f t="shared" si="80"/>
        <v>0</v>
      </c>
      <c r="J160">
        <f t="shared" si="80"/>
        <v>0</v>
      </c>
      <c r="K160">
        <f t="shared" si="80"/>
        <v>0</v>
      </c>
      <c r="L160">
        <f t="shared" si="80"/>
        <v>0</v>
      </c>
      <c r="M160">
        <f t="shared" si="80"/>
        <v>0</v>
      </c>
      <c r="N160">
        <f t="shared" si="80"/>
        <v>5</v>
      </c>
      <c r="O160">
        <f t="shared" si="80"/>
        <v>0</v>
      </c>
      <c r="P160">
        <f t="shared" si="80"/>
        <v>0</v>
      </c>
      <c r="Q160">
        <f t="shared" si="80"/>
        <v>177.4</v>
      </c>
      <c r="R160">
        <f t="shared" si="80"/>
        <v>114.1</v>
      </c>
      <c r="S160">
        <f t="shared" si="80"/>
        <v>235.10000000000002</v>
      </c>
      <c r="T160">
        <f t="shared" si="80"/>
        <v>243</v>
      </c>
      <c r="U160">
        <f t="shared" si="80"/>
        <v>125.6</v>
      </c>
      <c r="V160">
        <f t="shared" si="80"/>
        <v>36.8</v>
      </c>
      <c r="W160">
        <f t="shared" si="80"/>
        <v>0.1</v>
      </c>
      <c r="X160">
        <f t="shared" si="80"/>
        <v>0</v>
      </c>
      <c r="Y160">
        <f t="shared" si="80"/>
        <v>0</v>
      </c>
      <c r="Z160">
        <f t="shared" si="80"/>
        <v>0</v>
      </c>
      <c r="AA160">
        <f t="shared" si="80"/>
        <v>0</v>
      </c>
      <c r="AB160">
        <f t="shared" si="80"/>
        <v>0</v>
      </c>
      <c r="AC160">
        <f t="shared" si="80"/>
        <v>0</v>
      </c>
      <c r="AD160">
        <f t="shared" si="80"/>
        <v>0</v>
      </c>
      <c r="AE160">
        <f t="shared" si="80"/>
        <v>0</v>
      </c>
      <c r="AF160">
        <f t="shared" si="80"/>
        <v>0</v>
      </c>
      <c r="AG160">
        <f t="shared" si="80"/>
        <v>0</v>
      </c>
      <c r="AH160">
        <f t="shared" si="80"/>
        <v>0</v>
      </c>
      <c r="AI160">
        <f t="shared" si="80"/>
        <v>0</v>
      </c>
      <c r="AJ160">
        <f t="shared" si="80"/>
        <v>0</v>
      </c>
      <c r="AK160">
        <f t="shared" si="80"/>
        <v>0</v>
      </c>
      <c r="AL160">
        <f t="shared" si="80"/>
        <v>0</v>
      </c>
      <c r="AM160">
        <f>AM125+AM124</f>
        <v>0</v>
      </c>
      <c r="AN160">
        <f aca="true" t="shared" si="81" ref="AN160:AS160">AN125+AN124</f>
        <v>0</v>
      </c>
      <c r="AO160">
        <f t="shared" si="81"/>
        <v>0</v>
      </c>
      <c r="AP160">
        <f t="shared" si="81"/>
        <v>0</v>
      </c>
      <c r="AQ160">
        <f t="shared" si="81"/>
        <v>0</v>
      </c>
      <c r="AR160">
        <f t="shared" si="81"/>
        <v>0</v>
      </c>
      <c r="AS160">
        <f t="shared" si="81"/>
        <v>0</v>
      </c>
      <c r="AT160">
        <f>AT125+AT124</f>
        <v>0</v>
      </c>
      <c r="AU160">
        <f>AU125+AU124</f>
        <v>0</v>
      </c>
    </row>
    <row r="161" spans="1:47" ht="12.75">
      <c r="A161" s="76" t="s">
        <v>157</v>
      </c>
      <c r="B161">
        <f aca="true" t="shared" si="82" ref="B161:AL161">B123</f>
        <v>0</v>
      </c>
      <c r="C161">
        <f t="shared" si="82"/>
        <v>0</v>
      </c>
      <c r="D161">
        <f t="shared" si="82"/>
        <v>0</v>
      </c>
      <c r="E161">
        <f t="shared" si="82"/>
        <v>0</v>
      </c>
      <c r="F161">
        <f t="shared" si="82"/>
        <v>0</v>
      </c>
      <c r="G161">
        <f t="shared" si="82"/>
        <v>0</v>
      </c>
      <c r="H161">
        <f t="shared" si="82"/>
        <v>0</v>
      </c>
      <c r="I161">
        <f t="shared" si="82"/>
        <v>0</v>
      </c>
      <c r="J161">
        <f t="shared" si="82"/>
        <v>0</v>
      </c>
      <c r="K161">
        <f t="shared" si="82"/>
        <v>0</v>
      </c>
      <c r="L161">
        <f t="shared" si="82"/>
        <v>0</v>
      </c>
      <c r="M161">
        <f t="shared" si="82"/>
        <v>0</v>
      </c>
      <c r="N161">
        <f t="shared" si="82"/>
        <v>0</v>
      </c>
      <c r="O161">
        <f t="shared" si="82"/>
        <v>0</v>
      </c>
      <c r="P161">
        <f t="shared" si="82"/>
        <v>0.8</v>
      </c>
      <c r="Q161">
        <f t="shared" si="82"/>
        <v>159.4</v>
      </c>
      <c r="R161">
        <f t="shared" si="82"/>
        <v>165.6</v>
      </c>
      <c r="S161">
        <f t="shared" si="82"/>
        <v>95.7</v>
      </c>
      <c r="T161">
        <f t="shared" si="82"/>
        <v>74.3</v>
      </c>
      <c r="U161">
        <f t="shared" si="82"/>
        <v>38</v>
      </c>
      <c r="V161">
        <f t="shared" si="82"/>
        <v>6</v>
      </c>
      <c r="W161">
        <f t="shared" si="82"/>
        <v>2.4</v>
      </c>
      <c r="X161">
        <f t="shared" si="82"/>
        <v>0</v>
      </c>
      <c r="Y161">
        <f t="shared" si="82"/>
        <v>0</v>
      </c>
      <c r="Z161">
        <f t="shared" si="82"/>
        <v>0</v>
      </c>
      <c r="AA161">
        <f t="shared" si="82"/>
        <v>0</v>
      </c>
      <c r="AB161">
        <f t="shared" si="82"/>
        <v>0</v>
      </c>
      <c r="AC161">
        <f t="shared" si="82"/>
        <v>0</v>
      </c>
      <c r="AD161">
        <f t="shared" si="82"/>
        <v>0</v>
      </c>
      <c r="AE161">
        <f t="shared" si="82"/>
        <v>0</v>
      </c>
      <c r="AF161">
        <f t="shared" si="82"/>
        <v>0</v>
      </c>
      <c r="AG161">
        <f t="shared" si="82"/>
        <v>0</v>
      </c>
      <c r="AH161">
        <f t="shared" si="82"/>
        <v>0</v>
      </c>
      <c r="AI161">
        <f t="shared" si="82"/>
        <v>0</v>
      </c>
      <c r="AJ161">
        <f t="shared" si="82"/>
        <v>0</v>
      </c>
      <c r="AK161">
        <f t="shared" si="82"/>
        <v>0</v>
      </c>
      <c r="AL161">
        <f t="shared" si="82"/>
        <v>0</v>
      </c>
      <c r="AM161">
        <f>AM123</f>
        <v>0</v>
      </c>
      <c r="AN161">
        <f aca="true" t="shared" si="83" ref="AN161:AS161">AN123</f>
        <v>0</v>
      </c>
      <c r="AO161">
        <f t="shared" si="83"/>
        <v>0</v>
      </c>
      <c r="AP161">
        <f t="shared" si="83"/>
        <v>0</v>
      </c>
      <c r="AQ161">
        <f t="shared" si="83"/>
        <v>0</v>
      </c>
      <c r="AR161">
        <f t="shared" si="83"/>
        <v>0</v>
      </c>
      <c r="AS161">
        <f t="shared" si="83"/>
        <v>0</v>
      </c>
      <c r="AT161">
        <f>AT123</f>
        <v>0</v>
      </c>
      <c r="AU161">
        <f>AU123</f>
        <v>0</v>
      </c>
    </row>
    <row r="162" spans="1:47" ht="12.75">
      <c r="A162" s="76" t="s">
        <v>158</v>
      </c>
      <c r="B162">
        <v>56.6</v>
      </c>
      <c r="C162">
        <v>71</v>
      </c>
      <c r="D162">
        <v>77.2</v>
      </c>
      <c r="E162">
        <v>75.6</v>
      </c>
      <c r="F162">
        <f>F112+F159</f>
        <v>79.60000000000001</v>
      </c>
      <c r="G162">
        <f aca="true" t="shared" si="84" ref="G162:AS162">G112+G159</f>
        <v>91.55</v>
      </c>
      <c r="H162">
        <f t="shared" si="84"/>
        <v>100.7</v>
      </c>
      <c r="I162">
        <f t="shared" si="84"/>
        <v>114.2</v>
      </c>
      <c r="J162">
        <f t="shared" si="84"/>
        <v>143.5</v>
      </c>
      <c r="K162">
        <f t="shared" si="84"/>
        <v>178.1</v>
      </c>
      <c r="L162">
        <f t="shared" si="84"/>
        <v>209.7</v>
      </c>
      <c r="M162">
        <f t="shared" si="84"/>
        <v>243.2</v>
      </c>
      <c r="N162">
        <f t="shared" si="84"/>
        <v>332.4</v>
      </c>
      <c r="O162">
        <f t="shared" si="84"/>
        <v>374.1</v>
      </c>
      <c r="P162">
        <f t="shared" si="84"/>
        <v>551.8</v>
      </c>
      <c r="Q162">
        <f t="shared" si="84"/>
        <v>1536</v>
      </c>
      <c r="R162">
        <f t="shared" si="84"/>
        <v>1811.3999999999996</v>
      </c>
      <c r="S162">
        <f t="shared" si="84"/>
        <v>2052.9</v>
      </c>
      <c r="T162">
        <f t="shared" si="84"/>
        <v>2560.5</v>
      </c>
      <c r="U162">
        <f t="shared" si="84"/>
        <v>2346.2000000000003</v>
      </c>
      <c r="V162">
        <f t="shared" si="84"/>
        <v>2310</v>
      </c>
      <c r="W162">
        <f t="shared" si="84"/>
        <v>2403.5</v>
      </c>
      <c r="X162">
        <f t="shared" si="84"/>
        <v>2861.2</v>
      </c>
      <c r="Y162">
        <f t="shared" si="84"/>
        <v>3366.7</v>
      </c>
      <c r="Z162">
        <f t="shared" si="84"/>
        <v>3894.8999999999996</v>
      </c>
      <c r="AA162">
        <f t="shared" si="84"/>
        <v>3631.4</v>
      </c>
      <c r="AB162">
        <f t="shared" si="84"/>
        <v>3615.5</v>
      </c>
      <c r="AC162">
        <f t="shared" si="84"/>
        <v>3465.6000000000004</v>
      </c>
      <c r="AD162">
        <f t="shared" si="84"/>
        <v>3982.9999999999995</v>
      </c>
      <c r="AE162">
        <f t="shared" si="84"/>
        <v>4625.200000000001</v>
      </c>
      <c r="AF162">
        <f t="shared" si="84"/>
        <v>4766.599999999999</v>
      </c>
      <c r="AG162">
        <f t="shared" si="84"/>
        <v>6679.399999999999</v>
      </c>
      <c r="AH162">
        <f t="shared" si="84"/>
        <v>9008.099999999999</v>
      </c>
      <c r="AI162">
        <f t="shared" si="84"/>
        <v>12041.000000000002</v>
      </c>
      <c r="AJ162">
        <f t="shared" si="84"/>
        <v>22652.2</v>
      </c>
      <c r="AK162">
        <f t="shared" si="84"/>
        <v>30721.199999999997</v>
      </c>
      <c r="AL162">
        <f t="shared" si="84"/>
        <v>44912.299999999996</v>
      </c>
      <c r="AM162">
        <f t="shared" si="84"/>
        <v>61563.40000000001</v>
      </c>
      <c r="AN162">
        <f t="shared" si="84"/>
        <v>71378.6</v>
      </c>
      <c r="AO162">
        <f t="shared" si="84"/>
        <v>79901.5</v>
      </c>
      <c r="AP162">
        <f t="shared" si="84"/>
        <v>104817.59999999999</v>
      </c>
      <c r="AQ162">
        <f t="shared" si="84"/>
        <v>125375.4</v>
      </c>
      <c r="AR162">
        <f t="shared" si="84"/>
        <v>151576.2</v>
      </c>
      <c r="AS162" t="e">
        <f t="shared" si="84"/>
        <v>#VALUE!</v>
      </c>
      <c r="AT162" t="e">
        <f>AT112+AT159</f>
        <v>#VALUE!</v>
      </c>
      <c r="AU162" t="e">
        <f>AU112+AU159</f>
        <v>#VALUE!</v>
      </c>
    </row>
    <row r="163" spans="1:47" ht="12.75">
      <c r="A163" s="76" t="s">
        <v>159</v>
      </c>
      <c r="B163">
        <v>2.3</v>
      </c>
      <c r="C163">
        <v>1.5</v>
      </c>
      <c r="D163">
        <v>3.3</v>
      </c>
      <c r="E163">
        <v>-2.8</v>
      </c>
      <c r="F163">
        <f aca="true" t="shared" si="85" ref="F163:AL163">F142</f>
        <v>-6.2</v>
      </c>
      <c r="G163">
        <f t="shared" si="85"/>
        <v>-11.1</v>
      </c>
      <c r="H163">
        <f t="shared" si="85"/>
        <v>-7.4</v>
      </c>
      <c r="I163">
        <f t="shared" si="85"/>
        <v>-9.2</v>
      </c>
      <c r="J163">
        <f t="shared" si="85"/>
        <v>-28.3</v>
      </c>
      <c r="K163">
        <f t="shared" si="85"/>
        <v>-41.4</v>
      </c>
      <c r="L163">
        <f t="shared" si="85"/>
        <v>-48.099999999999994</v>
      </c>
      <c r="M163">
        <f t="shared" si="85"/>
        <v>-59.5</v>
      </c>
      <c r="N163">
        <f t="shared" si="85"/>
        <v>-62.099999999999966</v>
      </c>
      <c r="O163">
        <f t="shared" si="85"/>
        <v>-57</v>
      </c>
      <c r="P163">
        <f t="shared" si="85"/>
        <v>-67.4</v>
      </c>
      <c r="Q163">
        <f t="shared" si="85"/>
        <v>-116.9</v>
      </c>
      <c r="R163">
        <f t="shared" si="85"/>
        <v>-193.8</v>
      </c>
      <c r="S163">
        <f t="shared" si="85"/>
        <v>-169.8</v>
      </c>
      <c r="T163">
        <f t="shared" si="85"/>
        <v>-458</v>
      </c>
      <c r="U163">
        <f t="shared" si="85"/>
        <v>-608.9</v>
      </c>
      <c r="V163">
        <f t="shared" si="85"/>
        <v>-528.3</v>
      </c>
      <c r="W163">
        <f t="shared" si="85"/>
        <v>-972.5</v>
      </c>
      <c r="X163">
        <f t="shared" si="85"/>
        <v>-937</v>
      </c>
      <c r="Y163">
        <f t="shared" si="85"/>
        <v>-665.5</v>
      </c>
      <c r="Z163">
        <f t="shared" si="85"/>
        <v>-898.6</v>
      </c>
      <c r="AA163">
        <f t="shared" si="85"/>
        <v>-638.8</v>
      </c>
      <c r="AB163">
        <f t="shared" si="85"/>
        <v>-647</v>
      </c>
      <c r="AC163">
        <f t="shared" si="85"/>
        <v>-1449.5</v>
      </c>
      <c r="AD163">
        <f t="shared" si="85"/>
        <v>-1469.1</v>
      </c>
      <c r="AE163">
        <f t="shared" si="85"/>
        <v>-2125.2</v>
      </c>
      <c r="AF163">
        <f t="shared" si="85"/>
        <v>-1142.1</v>
      </c>
      <c r="AG163">
        <f t="shared" si="85"/>
        <v>-418.6</v>
      </c>
      <c r="AH163">
        <f t="shared" si="85"/>
        <v>-1157.3</v>
      </c>
      <c r="AI163">
        <f t="shared" si="85"/>
        <v>-872.3</v>
      </c>
      <c r="AJ163">
        <f t="shared" si="85"/>
        <v>-636.2</v>
      </c>
      <c r="AK163">
        <f t="shared" si="85"/>
        <v>332.1</v>
      </c>
      <c r="AL163">
        <f t="shared" si="85"/>
        <v>244.5</v>
      </c>
      <c r="AM163">
        <f>AM142</f>
        <v>338.8</v>
      </c>
      <c r="AN163">
        <f aca="true" t="shared" si="86" ref="AN163:AS163">AN142</f>
        <v>-3059.9</v>
      </c>
      <c r="AO163">
        <f t="shared" si="86"/>
        <v>-17344.3</v>
      </c>
      <c r="AP163">
        <f t="shared" si="86"/>
        <v>-927.2</v>
      </c>
      <c r="AQ163">
        <f t="shared" si="86"/>
        <v>-4766.3</v>
      </c>
      <c r="AR163">
        <f t="shared" si="86"/>
        <v>-3380.1</v>
      </c>
      <c r="AS163">
        <f t="shared" si="86"/>
        <v>0</v>
      </c>
      <c r="AT163">
        <f>AT142</f>
        <v>0</v>
      </c>
      <c r="AU163">
        <f>AU142</f>
        <v>0</v>
      </c>
    </row>
    <row r="164" spans="1:47" ht="12.75">
      <c r="A164" s="77" t="s">
        <v>160</v>
      </c>
      <c r="B164">
        <f aca="true" t="shared" si="87" ref="B164:AL164">B71</f>
        <v>9.5</v>
      </c>
      <c r="C164">
        <f t="shared" si="87"/>
        <v>10.4</v>
      </c>
      <c r="D164">
        <f t="shared" si="87"/>
        <v>9.3</v>
      </c>
      <c r="E164">
        <f t="shared" si="87"/>
        <v>8.7</v>
      </c>
      <c r="F164">
        <f t="shared" si="87"/>
        <v>10.1</v>
      </c>
      <c r="G164">
        <f t="shared" si="87"/>
        <v>11.2</v>
      </c>
      <c r="H164">
        <f t="shared" si="87"/>
        <v>13</v>
      </c>
      <c r="I164">
        <f t="shared" si="87"/>
        <v>16.2</v>
      </c>
      <c r="J164">
        <f t="shared" si="87"/>
        <v>17.7</v>
      </c>
      <c r="K164">
        <f t="shared" si="87"/>
        <v>21.6</v>
      </c>
      <c r="L164">
        <f t="shared" si="87"/>
        <v>23.2</v>
      </c>
      <c r="M164">
        <f t="shared" si="87"/>
        <v>30.7</v>
      </c>
      <c r="N164">
        <f t="shared" si="87"/>
        <v>37.3</v>
      </c>
      <c r="O164">
        <f t="shared" si="87"/>
        <v>45.7</v>
      </c>
      <c r="P164">
        <f t="shared" si="87"/>
        <v>60.699999999999996</v>
      </c>
      <c r="Q164">
        <f t="shared" si="87"/>
        <v>63.6</v>
      </c>
      <c r="R164">
        <f t="shared" si="87"/>
        <v>92.6</v>
      </c>
      <c r="S164">
        <f t="shared" si="87"/>
        <v>122.59999999999998</v>
      </c>
      <c r="T164">
        <f t="shared" si="87"/>
        <v>169.2</v>
      </c>
      <c r="U164">
        <f t="shared" si="87"/>
        <v>143.7</v>
      </c>
      <c r="V164">
        <f t="shared" si="87"/>
        <v>100.89999999999999</v>
      </c>
      <c r="W164">
        <f t="shared" si="87"/>
        <v>161.29999999999998</v>
      </c>
      <c r="X164">
        <f t="shared" si="87"/>
        <v>169.7</v>
      </c>
      <c r="Y164">
        <f t="shared" si="87"/>
        <v>217.5</v>
      </c>
      <c r="Z164">
        <f t="shared" si="87"/>
        <v>346.29999999999995</v>
      </c>
      <c r="AA164">
        <f t="shared" si="87"/>
        <v>345.70000000000005</v>
      </c>
      <c r="AB164">
        <f t="shared" si="87"/>
        <v>273.79999999999995</v>
      </c>
      <c r="AC164">
        <f t="shared" si="87"/>
        <v>224.8</v>
      </c>
      <c r="AD164">
        <f t="shared" si="87"/>
        <v>201.19999999999996</v>
      </c>
      <c r="AE164">
        <f t="shared" si="87"/>
        <v>145.79999999999998</v>
      </c>
      <c r="AF164">
        <f t="shared" si="87"/>
        <v>349.69999999999993</v>
      </c>
      <c r="AG164">
        <f t="shared" si="87"/>
        <v>502.4</v>
      </c>
      <c r="AH164">
        <f t="shared" si="87"/>
        <v>951.9</v>
      </c>
      <c r="AI164">
        <f t="shared" si="87"/>
        <v>1245.3000000000002</v>
      </c>
      <c r="AJ164">
        <f t="shared" si="87"/>
        <v>1123.3999999999999</v>
      </c>
      <c r="AK164">
        <f t="shared" si="87"/>
        <v>1284.1999999999998</v>
      </c>
      <c r="AL164">
        <f t="shared" si="87"/>
        <v>1249.9</v>
      </c>
      <c r="AM164">
        <f>AM71</f>
        <v>2934.2999999999997</v>
      </c>
      <c r="AN164">
        <f aca="true" t="shared" si="88" ref="AN164:AS164">AN71</f>
        <v>4289.199999999999</v>
      </c>
      <c r="AO164">
        <f t="shared" si="88"/>
        <v>4431.799999999999</v>
      </c>
      <c r="AP164">
        <f t="shared" si="88"/>
        <v>5805.099999999999</v>
      </c>
      <c r="AQ164">
        <f t="shared" si="88"/>
        <v>7947.7</v>
      </c>
      <c r="AR164">
        <f t="shared" si="88"/>
        <v>11635.3</v>
      </c>
      <c r="AS164">
        <f t="shared" si="88"/>
        <v>0</v>
      </c>
      <c r="AT164">
        <f>AT71</f>
        <v>0</v>
      </c>
      <c r="AU164">
        <f>AU71</f>
        <v>0</v>
      </c>
    </row>
    <row r="167" spans="1:44" s="78" customFormat="1" ht="12.75">
      <c r="A167" s="78">
        <f>SUM(B167:AS167)</f>
        <v>0</v>
      </c>
      <c r="B167" s="78">
        <f>B149+B150+B153+B154+B155-B156</f>
        <v>0</v>
      </c>
      <c r="C167" s="78">
        <f aca="true" t="shared" si="89" ref="C167:AH167">C149+C150+C153+C154+C155-C156</f>
        <v>0</v>
      </c>
      <c r="D167" s="78">
        <f t="shared" si="89"/>
        <v>0</v>
      </c>
      <c r="E167" s="78">
        <f t="shared" si="89"/>
        <v>0</v>
      </c>
      <c r="F167" s="78">
        <f t="shared" si="89"/>
        <v>0</v>
      </c>
      <c r="G167" s="78">
        <f t="shared" si="89"/>
        <v>0</v>
      </c>
      <c r="H167" s="78">
        <f t="shared" si="89"/>
        <v>0</v>
      </c>
      <c r="I167" s="78">
        <f t="shared" si="89"/>
        <v>0</v>
      </c>
      <c r="J167" s="78">
        <f t="shared" si="89"/>
        <v>0</v>
      </c>
      <c r="K167" s="78">
        <f t="shared" si="89"/>
        <v>0</v>
      </c>
      <c r="L167" s="78">
        <f t="shared" si="89"/>
        <v>0</v>
      </c>
      <c r="M167" s="78">
        <f t="shared" si="89"/>
        <v>0</v>
      </c>
      <c r="N167" s="78">
        <f t="shared" si="89"/>
        <v>0</v>
      </c>
      <c r="O167" s="78">
        <f t="shared" si="89"/>
        <v>0</v>
      </c>
      <c r="P167" s="78">
        <f t="shared" si="89"/>
        <v>0</v>
      </c>
      <c r="Q167" s="78">
        <f t="shared" si="89"/>
        <v>0</v>
      </c>
      <c r="R167" s="78">
        <f t="shared" si="89"/>
        <v>0</v>
      </c>
      <c r="S167" s="78">
        <f t="shared" si="89"/>
        <v>0</v>
      </c>
      <c r="T167" s="78">
        <f t="shared" si="89"/>
        <v>0</v>
      </c>
      <c r="U167" s="78">
        <f t="shared" si="89"/>
        <v>0</v>
      </c>
      <c r="V167" s="78">
        <f t="shared" si="89"/>
        <v>0</v>
      </c>
      <c r="W167" s="78">
        <f t="shared" si="89"/>
        <v>0</v>
      </c>
      <c r="X167" s="78">
        <f t="shared" si="89"/>
        <v>0</v>
      </c>
      <c r="Y167" s="78">
        <f t="shared" si="89"/>
        <v>0</v>
      </c>
      <c r="Z167" s="78">
        <f t="shared" si="89"/>
        <v>0</v>
      </c>
      <c r="AA167" s="78">
        <f t="shared" si="89"/>
        <v>0</v>
      </c>
      <c r="AB167" s="78">
        <f t="shared" si="89"/>
        <v>0</v>
      </c>
      <c r="AC167" s="78">
        <f t="shared" si="89"/>
        <v>0</v>
      </c>
      <c r="AD167" s="78">
        <f t="shared" si="89"/>
        <v>0</v>
      </c>
      <c r="AE167" s="78">
        <f t="shared" si="89"/>
        <v>0</v>
      </c>
      <c r="AF167" s="78">
        <f t="shared" si="89"/>
        <v>0</v>
      </c>
      <c r="AG167" s="78">
        <f t="shared" si="89"/>
        <v>0</v>
      </c>
      <c r="AH167" s="78">
        <f t="shared" si="89"/>
        <v>0</v>
      </c>
      <c r="AI167" s="78">
        <f aca="true" t="shared" si="90" ref="AI167:AR167">AI149+AI150+AI153+AI154+AI155-AI156</f>
        <v>0</v>
      </c>
      <c r="AJ167" s="78">
        <f t="shared" si="90"/>
        <v>0</v>
      </c>
      <c r="AK167" s="78">
        <f t="shared" si="90"/>
        <v>0</v>
      </c>
      <c r="AL167" s="78">
        <f t="shared" si="90"/>
        <v>0</v>
      </c>
      <c r="AM167" s="78">
        <f t="shared" si="90"/>
        <v>0</v>
      </c>
      <c r="AN167" s="78">
        <f t="shared" si="90"/>
        <v>0</v>
      </c>
      <c r="AO167" s="78">
        <f t="shared" si="90"/>
        <v>0</v>
      </c>
      <c r="AP167" s="78">
        <f t="shared" si="90"/>
        <v>0</v>
      </c>
      <c r="AQ167" s="78">
        <f t="shared" si="90"/>
        <v>0</v>
      </c>
      <c r="AR167" s="78">
        <f t="shared" si="90"/>
        <v>0</v>
      </c>
    </row>
    <row r="168" spans="1:44" s="78" customFormat="1" ht="12.75">
      <c r="A168" s="78">
        <f>SUM(B168:AS168)</f>
        <v>0</v>
      </c>
      <c r="B168" s="78">
        <f>B157+B158+B159+B160+B161-B162</f>
        <v>0</v>
      </c>
      <c r="C168" s="78">
        <f aca="true" t="shared" si="91" ref="C168:AH168">C157+C158+C159+C160+C161-C162</f>
        <v>0</v>
      </c>
      <c r="D168" s="78">
        <f t="shared" si="91"/>
        <v>0</v>
      </c>
      <c r="E168" s="78">
        <f t="shared" si="91"/>
        <v>0</v>
      </c>
      <c r="F168" s="78">
        <f t="shared" si="91"/>
        <v>0</v>
      </c>
      <c r="G168" s="78">
        <f t="shared" si="91"/>
        <v>0</v>
      </c>
      <c r="H168" s="78">
        <f t="shared" si="91"/>
        <v>0</v>
      </c>
      <c r="I168" s="78">
        <f t="shared" si="91"/>
        <v>0</v>
      </c>
      <c r="J168" s="78">
        <f t="shared" si="91"/>
        <v>0</v>
      </c>
      <c r="K168" s="78">
        <f t="shared" si="91"/>
        <v>0</v>
      </c>
      <c r="L168" s="78">
        <f t="shared" si="91"/>
        <v>0</v>
      </c>
      <c r="M168" s="78">
        <f t="shared" si="91"/>
        <v>0</v>
      </c>
      <c r="N168" s="78">
        <f t="shared" si="91"/>
        <v>0</v>
      </c>
      <c r="O168" s="78">
        <f t="shared" si="91"/>
        <v>0</v>
      </c>
      <c r="P168" s="78">
        <f t="shared" si="91"/>
        <v>0</v>
      </c>
      <c r="Q168" s="78">
        <f t="shared" si="91"/>
        <v>0</v>
      </c>
      <c r="R168" s="78">
        <f t="shared" si="91"/>
        <v>0</v>
      </c>
      <c r="S168" s="78">
        <f t="shared" si="91"/>
        <v>0</v>
      </c>
      <c r="T168" s="78">
        <f t="shared" si="91"/>
        <v>0</v>
      </c>
      <c r="U168" s="78">
        <f t="shared" si="91"/>
        <v>0</v>
      </c>
      <c r="V168" s="78">
        <f t="shared" si="91"/>
        <v>0</v>
      </c>
      <c r="W168" s="78">
        <f t="shared" si="91"/>
        <v>0</v>
      </c>
      <c r="X168" s="78">
        <f t="shared" si="91"/>
        <v>0</v>
      </c>
      <c r="Y168" s="78">
        <f t="shared" si="91"/>
        <v>0</v>
      </c>
      <c r="Z168" s="78">
        <f t="shared" si="91"/>
        <v>0</v>
      </c>
      <c r="AA168" s="78">
        <f t="shared" si="91"/>
        <v>0</v>
      </c>
      <c r="AB168" s="78">
        <f t="shared" si="91"/>
        <v>0</v>
      </c>
      <c r="AC168" s="78">
        <f t="shared" si="91"/>
        <v>0</v>
      </c>
      <c r="AD168" s="78">
        <f t="shared" si="91"/>
        <v>0</v>
      </c>
      <c r="AE168" s="78">
        <f t="shared" si="91"/>
        <v>0</v>
      </c>
      <c r="AF168" s="78">
        <f t="shared" si="91"/>
        <v>0</v>
      </c>
      <c r="AG168" s="78">
        <f t="shared" si="91"/>
        <v>0</v>
      </c>
      <c r="AH168" s="78">
        <f t="shared" si="91"/>
        <v>0</v>
      </c>
      <c r="AI168" s="78">
        <f aca="true" t="shared" si="92" ref="AI168:AR168">AI157+AI158+AI159+AI160+AI161-AI162</f>
        <v>0</v>
      </c>
      <c r="AJ168" s="78">
        <f t="shared" si="92"/>
        <v>0</v>
      </c>
      <c r="AK168" s="78">
        <f t="shared" si="92"/>
        <v>0</v>
      </c>
      <c r="AL168" s="78">
        <f t="shared" si="92"/>
        <v>0</v>
      </c>
      <c r="AM168" s="78">
        <f t="shared" si="92"/>
        <v>0</v>
      </c>
      <c r="AN168" s="78">
        <f t="shared" si="92"/>
        <v>0</v>
      </c>
      <c r="AO168" s="78">
        <f t="shared" si="92"/>
        <v>0</v>
      </c>
      <c r="AP168" s="78">
        <f t="shared" si="92"/>
        <v>0</v>
      </c>
      <c r="AQ168" s="78">
        <f t="shared" si="92"/>
        <v>0</v>
      </c>
      <c r="AR168" s="78">
        <f t="shared" si="92"/>
        <v>0</v>
      </c>
    </row>
    <row r="169" spans="1:44" s="78" customFormat="1" ht="12.75">
      <c r="A169" s="78">
        <f>SUM(B169:AS169)</f>
        <v>-3.304023721284466E-13</v>
      </c>
      <c r="B169" s="78">
        <f>B156-B162-B163</f>
        <v>0</v>
      </c>
      <c r="C169" s="78">
        <f aca="true" t="shared" si="93" ref="C169:AH169">C156-C162-C163</f>
        <v>0</v>
      </c>
      <c r="D169" s="78">
        <f t="shared" si="93"/>
        <v>0</v>
      </c>
      <c r="E169" s="78">
        <f t="shared" si="93"/>
        <v>0</v>
      </c>
      <c r="F169" s="78">
        <f t="shared" si="93"/>
        <v>0</v>
      </c>
      <c r="G169" s="78">
        <f t="shared" si="93"/>
        <v>0</v>
      </c>
      <c r="H169" s="78">
        <f t="shared" si="93"/>
        <v>0</v>
      </c>
      <c r="I169" s="78">
        <f t="shared" si="93"/>
        <v>-1.7763568394002505E-14</v>
      </c>
      <c r="J169" s="78">
        <f t="shared" si="93"/>
        <v>0</v>
      </c>
      <c r="K169" s="78">
        <f t="shared" si="93"/>
        <v>0</v>
      </c>
      <c r="L169" s="78">
        <f t="shared" si="93"/>
        <v>0</v>
      </c>
      <c r="M169" s="78">
        <f t="shared" si="93"/>
        <v>0</v>
      </c>
      <c r="N169" s="78">
        <f t="shared" si="93"/>
        <v>0</v>
      </c>
      <c r="O169" s="78">
        <f t="shared" si="93"/>
        <v>0</v>
      </c>
      <c r="P169" s="78">
        <f t="shared" si="93"/>
        <v>0</v>
      </c>
      <c r="Q169" s="78">
        <f t="shared" si="93"/>
        <v>1.4210854715202004E-13</v>
      </c>
      <c r="R169" s="78">
        <f t="shared" si="93"/>
        <v>2.8421709430404007E-13</v>
      </c>
      <c r="S169" s="78">
        <f t="shared" si="93"/>
        <v>0</v>
      </c>
      <c r="T169" s="78">
        <f t="shared" si="93"/>
        <v>0</v>
      </c>
      <c r="U169" s="78">
        <f t="shared" si="93"/>
        <v>0</v>
      </c>
      <c r="V169" s="78">
        <f t="shared" si="93"/>
        <v>0</v>
      </c>
      <c r="W169" s="78">
        <f t="shared" si="93"/>
        <v>0</v>
      </c>
      <c r="X169" s="78">
        <f t="shared" si="93"/>
        <v>0</v>
      </c>
      <c r="Y169" s="78">
        <f t="shared" si="93"/>
        <v>0</v>
      </c>
      <c r="Z169" s="78">
        <f t="shared" si="93"/>
        <v>0</v>
      </c>
      <c r="AA169" s="78">
        <f t="shared" si="93"/>
        <v>0</v>
      </c>
      <c r="AB169" s="78">
        <f t="shared" si="93"/>
        <v>0</v>
      </c>
      <c r="AC169" s="78">
        <f t="shared" si="93"/>
        <v>0</v>
      </c>
      <c r="AD169" s="78">
        <f t="shared" si="93"/>
        <v>0</v>
      </c>
      <c r="AE169" s="78">
        <f t="shared" si="93"/>
        <v>0</v>
      </c>
      <c r="AF169" s="78">
        <f t="shared" si="93"/>
        <v>0</v>
      </c>
      <c r="AG169" s="78">
        <f t="shared" si="93"/>
        <v>2.3874235921539366E-12</v>
      </c>
      <c r="AH169" s="78">
        <f t="shared" si="93"/>
        <v>0</v>
      </c>
      <c r="AI169" s="78">
        <f aca="true" t="shared" si="94" ref="AI169:AR169">AI156-AI162-AI163</f>
        <v>-1.1368683772161603E-12</v>
      </c>
      <c r="AJ169" s="78">
        <f t="shared" si="94"/>
        <v>0</v>
      </c>
      <c r="AK169" s="78">
        <f t="shared" si="94"/>
        <v>2.1600499167107046E-12</v>
      </c>
      <c r="AL169" s="78">
        <f t="shared" si="94"/>
        <v>0</v>
      </c>
      <c r="AM169" s="78">
        <f t="shared" si="94"/>
        <v>-4.376943252282217E-12</v>
      </c>
      <c r="AN169" s="78">
        <f t="shared" si="94"/>
        <v>-8.640199666842818E-12</v>
      </c>
      <c r="AO169" s="78">
        <f t="shared" si="94"/>
        <v>0</v>
      </c>
      <c r="AP169" s="78">
        <f t="shared" si="94"/>
        <v>2.9558577807620168E-12</v>
      </c>
      <c r="AQ169" s="78">
        <f t="shared" si="94"/>
        <v>1.1823431123048067E-11</v>
      </c>
      <c r="AR169" s="78">
        <f t="shared" si="94"/>
        <v>-5.9117155615240335E-12</v>
      </c>
    </row>
    <row r="170" spans="1:44" s="78" customFormat="1" ht="12.75">
      <c r="A170" s="78">
        <f>SUM(B170:AS170)</f>
        <v>0</v>
      </c>
      <c r="B170" s="78">
        <f aca="true" t="shared" si="95" ref="B170:AR170">B150-B151-B152</f>
        <v>0</v>
      </c>
      <c r="C170" s="78">
        <f t="shared" si="95"/>
        <v>0</v>
      </c>
      <c r="D170" s="78">
        <f t="shared" si="95"/>
        <v>0</v>
      </c>
      <c r="E170" s="78">
        <f t="shared" si="95"/>
        <v>0</v>
      </c>
      <c r="F170" s="78">
        <f t="shared" si="95"/>
        <v>0</v>
      </c>
      <c r="G170" s="78">
        <f t="shared" si="95"/>
        <v>0</v>
      </c>
      <c r="H170" s="78">
        <f t="shared" si="95"/>
        <v>0</v>
      </c>
      <c r="I170" s="78">
        <f t="shared" si="95"/>
        <v>0</v>
      </c>
      <c r="J170" s="78">
        <f t="shared" si="95"/>
        <v>0</v>
      </c>
      <c r="K170" s="79">
        <f t="shared" si="95"/>
        <v>0</v>
      </c>
      <c r="L170" s="80">
        <f t="shared" si="95"/>
        <v>0</v>
      </c>
      <c r="M170" s="78">
        <f t="shared" si="95"/>
        <v>0</v>
      </c>
      <c r="N170" s="78">
        <f t="shared" si="95"/>
        <v>0</v>
      </c>
      <c r="O170" s="78">
        <f t="shared" si="95"/>
        <v>0</v>
      </c>
      <c r="P170" s="78">
        <f t="shared" si="95"/>
        <v>0</v>
      </c>
      <c r="Q170" s="78">
        <f t="shared" si="95"/>
        <v>0</v>
      </c>
      <c r="R170" s="78">
        <f t="shared" si="95"/>
        <v>0</v>
      </c>
      <c r="S170" s="78">
        <f t="shared" si="95"/>
        <v>0</v>
      </c>
      <c r="T170" s="78">
        <f t="shared" si="95"/>
        <v>0</v>
      </c>
      <c r="U170" s="78">
        <f t="shared" si="95"/>
        <v>0</v>
      </c>
      <c r="V170" s="78">
        <f t="shared" si="95"/>
        <v>0</v>
      </c>
      <c r="W170" s="78">
        <f t="shared" si="95"/>
        <v>0</v>
      </c>
      <c r="X170" s="78">
        <f t="shared" si="95"/>
        <v>0</v>
      </c>
      <c r="Y170" s="78">
        <f t="shared" si="95"/>
        <v>0</v>
      </c>
      <c r="Z170" s="78">
        <f t="shared" si="95"/>
        <v>0</v>
      </c>
      <c r="AA170" s="78">
        <f t="shared" si="95"/>
        <v>0</v>
      </c>
      <c r="AB170" s="78">
        <f t="shared" si="95"/>
        <v>0</v>
      </c>
      <c r="AC170" s="78">
        <f t="shared" si="95"/>
        <v>0</v>
      </c>
      <c r="AD170" s="78">
        <f t="shared" si="95"/>
        <v>0</v>
      </c>
      <c r="AE170" s="78">
        <f t="shared" si="95"/>
        <v>0</v>
      </c>
      <c r="AF170" s="78">
        <f t="shared" si="95"/>
        <v>0</v>
      </c>
      <c r="AG170" s="78">
        <f t="shared" si="95"/>
        <v>0</v>
      </c>
      <c r="AH170" s="78">
        <f t="shared" si="95"/>
        <v>0</v>
      </c>
      <c r="AI170" s="78">
        <f t="shared" si="95"/>
        <v>0</v>
      </c>
      <c r="AJ170" s="78">
        <f t="shared" si="95"/>
        <v>0</v>
      </c>
      <c r="AK170" s="78">
        <f t="shared" si="95"/>
        <v>0</v>
      </c>
      <c r="AL170" s="78">
        <f t="shared" si="95"/>
        <v>0</v>
      </c>
      <c r="AM170" s="78">
        <f t="shared" si="95"/>
        <v>0</v>
      </c>
      <c r="AN170" s="78">
        <f t="shared" si="95"/>
        <v>0</v>
      </c>
      <c r="AO170" s="78">
        <f t="shared" si="95"/>
        <v>0</v>
      </c>
      <c r="AP170" s="78">
        <f t="shared" si="95"/>
        <v>0</v>
      </c>
      <c r="AQ170" s="78">
        <f t="shared" si="95"/>
        <v>0</v>
      </c>
      <c r="AR170" s="78">
        <f t="shared" si="95"/>
        <v>0</v>
      </c>
    </row>
  </sheetData>
  <sheetProtection/>
  <conditionalFormatting sqref="AS167:IV170">
    <cfRule type="cellIs" priority="1" dxfId="1" operator="notEqual" stopIfTrue="1">
      <formula>0</formula>
    </cfRule>
  </conditionalFormatting>
  <conditionalFormatting sqref="A167:AR170">
    <cfRule type="cellIs" priority="2" dxfId="0" operator="notBetween" stopIfTrue="1">
      <formula>-0.001</formula>
      <formula>0.001</formula>
    </cfRule>
  </conditionalFormatting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بانک اطلاعات حسابهای مالی دولت در ایران</dc:title>
  <dc:subject>بانک اطلاعات حسابهای مالی دولت در ایران</dc:subject>
  <dc:creator>بیژن بیدآباد</dc:creator>
  <cp:keywords>بانک اطلاعات حسابهای مالی دولت در ایران</cp:keywords>
  <dc:description>بانک اطلاعات حسابهای مالی دولت در ایران</dc:description>
  <cp:lastModifiedBy>Bijan Bidabad</cp:lastModifiedBy>
  <dcterms:created xsi:type="dcterms:W3CDTF">2002-07-08T11:12:41Z</dcterms:created>
  <dcterms:modified xsi:type="dcterms:W3CDTF">2010-06-09T03:46:08Z</dcterms:modified>
  <cp:category>بانک اطلاعات حسابهای مالی دولت در ایران</cp:category>
  <cp:version/>
  <cp:contentType/>
  <cp:contentStatus/>
</cp:coreProperties>
</file>