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5330" windowHeight="9120" tabRatio="544" activeTab="0"/>
  </bookViews>
  <sheets>
    <sheet name="BOP" sheetId="1" r:id="rId1"/>
  </sheets>
  <externalReferences>
    <externalReference r:id="rId4"/>
  </externalReferences>
  <definedNames>
    <definedName name="A266CAPITAL">#REF!</definedName>
    <definedName name="A28CAPITAL">#REF!</definedName>
    <definedName name="discrepancy">#REF!</definedName>
    <definedName name="j28capital">#REF!</definedName>
  </definedNames>
  <calcPr fullCalcOnLoad="1"/>
</workbook>
</file>

<file path=xl/sharedStrings.xml><?xml version="1.0" encoding="utf-8"?>
<sst xmlns="http://schemas.openxmlformats.org/spreadsheetml/2006/main" count="1132" uniqueCount="286">
  <si>
    <t>YEAR</t>
  </si>
  <si>
    <t>IREO</t>
  </si>
  <si>
    <t>IREX</t>
  </si>
  <si>
    <t>IREE</t>
  </si>
  <si>
    <t xml:space="preserve"> </t>
  </si>
  <si>
    <t>IREM</t>
  </si>
  <si>
    <t xml:space="preserve">   Received:</t>
  </si>
  <si>
    <t xml:space="preserve">      Investment return</t>
  </si>
  <si>
    <t xml:space="preserve">      Compensation of employees:</t>
  </si>
  <si>
    <t xml:space="preserve">           Private sector</t>
  </si>
  <si>
    <t xml:space="preserve">           Government sector</t>
  </si>
  <si>
    <t xml:space="preserve">   Payment:</t>
  </si>
  <si>
    <t>Net factor income from abroad</t>
  </si>
  <si>
    <t xml:space="preserve">   Exports of goods &amp; services:</t>
  </si>
  <si>
    <t xml:space="preserve">        Goods:</t>
  </si>
  <si>
    <t xml:space="preserve">            Oil &amp; gas</t>
  </si>
  <si>
    <t xml:space="preserve">            Other</t>
  </si>
  <si>
    <t xml:space="preserve">        Services:</t>
  </si>
  <si>
    <t xml:space="preserve">            Transport expenditure</t>
  </si>
  <si>
    <t xml:space="preserve">   Import of goods &amp; services:</t>
  </si>
  <si>
    <t xml:space="preserve">        Goods</t>
  </si>
  <si>
    <t xml:space="preserve">            Transport expenditure </t>
  </si>
  <si>
    <t>Net export</t>
  </si>
  <si>
    <t>DOLLAR, Calculated from RIALS:</t>
  </si>
  <si>
    <t>DOLLAR rate</t>
  </si>
  <si>
    <t>BALANCE OF PAYMENTS</t>
  </si>
  <si>
    <t xml:space="preserve"> Trade Balance</t>
  </si>
  <si>
    <t xml:space="preserve">      Export    </t>
  </si>
  <si>
    <t xml:space="preserve">          Oil and gas</t>
  </si>
  <si>
    <t xml:space="preserve">          Other</t>
  </si>
  <si>
    <t xml:space="preserve">      Import (FOB)</t>
  </si>
  <si>
    <t xml:space="preserve">      Import (FOB), revised according to CIF/FOB factor</t>
  </si>
  <si>
    <t xml:space="preserve"> Services</t>
  </si>
  <si>
    <t xml:space="preserve">      Receipts</t>
  </si>
  <si>
    <t xml:space="preserve">          Transportation charges &amp; insurance         </t>
  </si>
  <si>
    <t xml:space="preserve">          Passengers services</t>
  </si>
  <si>
    <t xml:space="preserve">          Travel</t>
  </si>
  <si>
    <t xml:space="preserve">          Investment revenues</t>
  </si>
  <si>
    <t xml:space="preserve">          Other public services</t>
  </si>
  <si>
    <t xml:space="preserve">          Other private services</t>
  </si>
  <si>
    <t xml:space="preserve">               Non factor services</t>
  </si>
  <si>
    <t xml:space="preserve">               Factor income</t>
  </si>
  <si>
    <t xml:space="preserve">      Payments</t>
  </si>
  <si>
    <t xml:space="preserve">      Payment, revised by CIF/FOB factor</t>
  </si>
  <si>
    <t xml:space="preserve">           Transportation charges &amp; insurance         </t>
  </si>
  <si>
    <t xml:space="preserve">           Transportation charges &amp; insurance, revised by CIF/FOB factor   </t>
  </si>
  <si>
    <t xml:space="preserve">           Passengers services</t>
  </si>
  <si>
    <t xml:space="preserve">           Travel</t>
  </si>
  <si>
    <t xml:space="preserve">           Investment revenues</t>
  </si>
  <si>
    <t xml:space="preserve">           Other public services</t>
  </si>
  <si>
    <t xml:space="preserve">           Other private services</t>
  </si>
  <si>
    <t xml:space="preserve">  'Transfers</t>
  </si>
  <si>
    <t xml:space="preserve">      Public</t>
  </si>
  <si>
    <t xml:space="preserve">      Private</t>
  </si>
  <si>
    <t>Discrepancy check for CIF/FOB factor adjustment</t>
  </si>
  <si>
    <t>CURRENT ACCOUNT</t>
  </si>
  <si>
    <t>CAPITAL ACCOUNT</t>
  </si>
  <si>
    <t xml:space="preserve">     Long term</t>
  </si>
  <si>
    <t xml:space="preserve">          Government  :</t>
  </si>
  <si>
    <t xml:space="preserve">                 Liabilities</t>
  </si>
  <si>
    <t xml:space="preserve">                 Asset</t>
  </si>
  <si>
    <t xml:space="preserve">           Other</t>
  </si>
  <si>
    <t xml:space="preserve">     Short term (net)</t>
  </si>
  <si>
    <t xml:space="preserve">            Public</t>
  </si>
  <si>
    <t xml:space="preserve">            Bank</t>
  </si>
  <si>
    <t xml:space="preserve"> Time Adjustment</t>
  </si>
  <si>
    <t>Statistical Discrepancies</t>
  </si>
  <si>
    <t>OVERALL  BALANCE</t>
  </si>
  <si>
    <t xml:space="preserve">  Overall Balance in Book</t>
  </si>
  <si>
    <t xml:space="preserve">   Discrepancies</t>
  </si>
  <si>
    <t xml:space="preserve">   In Which Book ?</t>
  </si>
  <si>
    <t>BOE</t>
  </si>
  <si>
    <t>T.1351</t>
  </si>
  <si>
    <t>T.1356</t>
  </si>
  <si>
    <t>T.1358</t>
  </si>
  <si>
    <t>T.1359</t>
  </si>
  <si>
    <t>T.1360</t>
  </si>
  <si>
    <t>T.1361</t>
  </si>
  <si>
    <t>T.1363</t>
  </si>
  <si>
    <t>T.1364</t>
  </si>
  <si>
    <t>T.1365</t>
  </si>
  <si>
    <t>T.1366</t>
  </si>
  <si>
    <t>T.1367</t>
  </si>
  <si>
    <t>T.1372</t>
  </si>
  <si>
    <t>T.1373</t>
  </si>
  <si>
    <t>T.1376</t>
  </si>
  <si>
    <t>CIF/FOB Factor, of middle east, IFS</t>
  </si>
  <si>
    <t>EXPORT OF GOODS (Excl. Oil &amp; Gas &amp; Elec.)</t>
  </si>
  <si>
    <t xml:space="preserve">  Agricultural &amp; Traditional</t>
  </si>
  <si>
    <t xml:space="preserve">       Carpets</t>
  </si>
  <si>
    <t xml:space="preserve">       Fresh and dry fruits</t>
  </si>
  <si>
    <t xml:space="preserve">                 Pistachio</t>
  </si>
  <si>
    <t>_</t>
  </si>
  <si>
    <t xml:space="preserve">                 Raisins</t>
  </si>
  <si>
    <t xml:space="preserve">                 Other fruits and vegetables</t>
  </si>
  <si>
    <t xml:space="preserve">        All kinds of skins and leathers</t>
  </si>
  <si>
    <t xml:space="preserve">        Caviar</t>
  </si>
  <si>
    <t xml:space="preserve">        Casings</t>
  </si>
  <si>
    <t xml:space="preserve">        Gum tragacanth</t>
  </si>
  <si>
    <t xml:space="preserve">        Cumin</t>
  </si>
  <si>
    <t xml:space="preserve">        Cotton</t>
  </si>
  <si>
    <t xml:space="preserve">        Other</t>
  </si>
  <si>
    <t xml:space="preserve">  Metal Ores</t>
  </si>
  <si>
    <t xml:space="preserve">        </t>
  </si>
  <si>
    <t xml:space="preserve">  Industrial Goods</t>
  </si>
  <si>
    <t xml:space="preserve">        Detergents and soaps</t>
  </si>
  <si>
    <t xml:space="preserve">        Chemical products</t>
  </si>
  <si>
    <t xml:space="preserve">        Shoes</t>
  </si>
  <si>
    <t xml:space="preserve">        Ready-made clothes,knitwear,all kinds of fabrics</t>
  </si>
  <si>
    <t xml:space="preserve">        Cement,stones,tiles &amp; construction materials</t>
  </si>
  <si>
    <t xml:space="preserve">        Transportation vehicles</t>
  </si>
  <si>
    <t xml:space="preserve">        Copper bar, sheet and wire</t>
  </si>
  <si>
    <t xml:space="preserve">        Home copper appliances</t>
  </si>
  <si>
    <t xml:space="preserve">        Cast iron, iron and steel</t>
  </si>
  <si>
    <t xml:space="preserve">        Hydrocarbores (gas)</t>
  </si>
  <si>
    <t xml:space="preserve">        Biscuittes and Fectionars</t>
  </si>
  <si>
    <t xml:space="preserve">        Vegetable Shortening</t>
  </si>
  <si>
    <t xml:space="preserve">  TOTAL</t>
  </si>
  <si>
    <t>COMPOSITION OF EXPORT ACCORDING TO USE</t>
  </si>
  <si>
    <t xml:space="preserve">   Raw Materials and Intermediate Goods</t>
  </si>
  <si>
    <t xml:space="preserve">          Industries and mines</t>
  </si>
  <si>
    <t xml:space="preserve">                Textiles</t>
  </si>
  <si>
    <t xml:space="preserve">                Chemicals</t>
  </si>
  <si>
    <t xml:space="preserve">                Skin and leather</t>
  </si>
  <si>
    <t xml:space="preserve">                Metal smelting</t>
  </si>
  <si>
    <t xml:space="preserve">                Foodstuffs</t>
  </si>
  <si>
    <t xml:space="preserve">                Other</t>
  </si>
  <si>
    <t xml:space="preserve">          Construction</t>
  </si>
  <si>
    <t xml:space="preserve">                </t>
  </si>
  <si>
    <t xml:space="preserve">          Agriculture</t>
  </si>
  <si>
    <t xml:space="preserve">          Services</t>
  </si>
  <si>
    <t xml:space="preserve">  Capital Goods</t>
  </si>
  <si>
    <t xml:space="preserve">  Consumer Goods</t>
  </si>
  <si>
    <t xml:space="preserve">  Not-classified goods</t>
  </si>
  <si>
    <t xml:space="preserve"> TOTAL</t>
  </si>
  <si>
    <t>VALUE OF IMPORT (SITC)</t>
  </si>
  <si>
    <t xml:space="preserve">   Food and Live Animals</t>
  </si>
  <si>
    <t xml:space="preserve">          Dairy and Eggs</t>
  </si>
  <si>
    <t xml:space="preserve">          Grains and derivatives</t>
  </si>
  <si>
    <t xml:space="preserve">          Sugar, its derivatives and honey</t>
  </si>
  <si>
    <t xml:space="preserve">          Coffee, tea, cocoa, spices &amp; etc.</t>
  </si>
  <si>
    <t xml:space="preserve">          Fruits and vegetables</t>
  </si>
  <si>
    <t xml:space="preserve">   Beverages and Tobacco</t>
  </si>
  <si>
    <t xml:space="preserve">   Raw non-edible products (excl. petroleum fuels)</t>
  </si>
  <si>
    <t xml:space="preserve">          Raw caoutchouc</t>
  </si>
  <si>
    <t xml:space="preserve">          Textile fibers unlisted else-where</t>
  </si>
  <si>
    <t xml:space="preserve">          Various raw fertilizers &amp; minerals</t>
  </si>
  <si>
    <t xml:space="preserve">   Mineral, fuel, oily products &amp; their derivatives </t>
  </si>
  <si>
    <t xml:space="preserve">   Vegetable &amp; Animal Shortening</t>
  </si>
  <si>
    <t xml:space="preserve">          Vegetable shortening</t>
  </si>
  <si>
    <t xml:space="preserve">   Chemical products</t>
  </si>
  <si>
    <t xml:space="preserve">          Chemicals and their compounds</t>
  </si>
  <si>
    <t xml:space="preserve">          Raw materials for paints, dyes and tanning</t>
  </si>
  <si>
    <t xml:space="preserve">          Medical &amp; pharmaceutical products</t>
  </si>
  <si>
    <t xml:space="preserve">          Plastic, cellulose &amp; artificial resins</t>
  </si>
  <si>
    <t xml:space="preserve">          Other unlisted chemicals</t>
  </si>
  <si>
    <t xml:space="preserve">   Goods Classified According to their Composition </t>
  </si>
  <si>
    <t xml:space="preserve">          Paper, cardboard &amp; derivatives </t>
  </si>
  <si>
    <t xml:space="preserve">          Various textile yarns and related products</t>
  </si>
  <si>
    <t xml:space="preserve">          Non-metal mineral goods</t>
  </si>
  <si>
    <t xml:space="preserve">          Iron and steel</t>
  </si>
  <si>
    <t xml:space="preserve">   Transportation Vehicles, Machinery and Tools</t>
  </si>
  <si>
    <t xml:space="preserve">          Non-electric machinery</t>
  </si>
  <si>
    <t xml:space="preserve">          Electric machinery, tools and appliances</t>
  </si>
  <si>
    <t xml:space="preserve">          Transportation Vehicles</t>
  </si>
  <si>
    <t xml:space="preserve">   Miscellaneous Finished products</t>
  </si>
  <si>
    <t xml:space="preserve">          Scientific and professional tools</t>
  </si>
  <si>
    <t xml:space="preserve">          Artifactual goods unlisted else-where</t>
  </si>
  <si>
    <t xml:space="preserve">          Other </t>
  </si>
  <si>
    <t xml:space="preserve">     </t>
  </si>
  <si>
    <t xml:space="preserve">  Good not classified according to their use</t>
  </si>
  <si>
    <t xml:space="preserve">   Other</t>
  </si>
  <si>
    <t xml:space="preserve"> TOTAL  IMPORT</t>
  </si>
  <si>
    <t xml:space="preserve">  Import (adjusted)</t>
  </si>
  <si>
    <t>COMPOSITION OF IMPORTS BY USE</t>
  </si>
  <si>
    <t xml:space="preserve">           Manufacturing and mining</t>
  </si>
  <si>
    <t xml:space="preserve">           Construction</t>
  </si>
  <si>
    <t xml:space="preserve">           Agriculture &amp; animal husbandry</t>
  </si>
  <si>
    <t xml:space="preserve">           Services</t>
  </si>
  <si>
    <t xml:space="preserve">           </t>
  </si>
  <si>
    <t xml:space="preserve">   Capital Goods</t>
  </si>
  <si>
    <t xml:space="preserve">           Agriculture</t>
  </si>
  <si>
    <t xml:space="preserve">   Consumer Goods</t>
  </si>
  <si>
    <t xml:space="preserve">  Non-classified goods</t>
  </si>
  <si>
    <t>TOTAL IMPORT</t>
  </si>
  <si>
    <t>Adjusted Import Customs</t>
  </si>
  <si>
    <t xml:space="preserve">DISCREPANCIES  WITH  BOP </t>
  </si>
  <si>
    <t xml:space="preserve">  Dis.: Export (SITC) &amp; Export in Bop</t>
  </si>
  <si>
    <t xml:space="preserve">  Dis.: Composition of Export &amp; Export in Bop</t>
  </si>
  <si>
    <t xml:space="preserve">  Dis.: Import ( SITC ) &amp; import in Bop</t>
  </si>
  <si>
    <t xml:space="preserve">  Dis.: Composition of Import &amp; Import in Bop</t>
  </si>
  <si>
    <t xml:space="preserve">  Dis..between Exports Tables</t>
  </si>
  <si>
    <t xml:space="preserve">  Dis..between Imports Tables </t>
  </si>
  <si>
    <t>FOREIGN EXCHANGE BALANCE (banking system)</t>
  </si>
  <si>
    <t>CURRENT ACCOUNT (net)</t>
  </si>
  <si>
    <t xml:space="preserve">   Current Receipts</t>
  </si>
  <si>
    <t xml:space="preserve">           Exports of oil</t>
  </si>
  <si>
    <t xml:space="preserve">           Exports of gas</t>
  </si>
  <si>
    <t xml:space="preserve">           Purchase of foreign exchange from exports of goods</t>
  </si>
  <si>
    <t xml:space="preserve">        Services</t>
  </si>
  <si>
    <t xml:space="preserve">           Public sector</t>
  </si>
  <si>
    <t xml:space="preserve">           Interest receipts</t>
  </si>
  <si>
    <t xml:space="preserve">   Current Payment </t>
  </si>
  <si>
    <t xml:space="preserve">       Goods</t>
  </si>
  <si>
    <t xml:space="preserve">       Services</t>
  </si>
  <si>
    <t xml:space="preserve">           Interest paid</t>
  </si>
  <si>
    <t>CAPITAL ACCOUNT(net)</t>
  </si>
  <si>
    <t xml:space="preserve">   Capital Receipts</t>
  </si>
  <si>
    <t xml:space="preserve">           Government utilization of foreign loans &amp; credits</t>
  </si>
  <si>
    <t xml:space="preserve">           Inflow of foreign private capital &amp; loans</t>
  </si>
  <si>
    <t xml:space="preserve">           Return of capital &amp; loans from abroad</t>
  </si>
  <si>
    <t xml:space="preserve">           Sales of foreign equities, bonds, treasurybills</t>
  </si>
  <si>
    <t xml:space="preserve">           Utilization of Special Drawwing Right</t>
  </si>
  <si>
    <t xml:space="preserve">   Capital Payments</t>
  </si>
  <si>
    <t xml:space="preserve">           Repayment of principal of foreign loans &amp; credits</t>
  </si>
  <si>
    <t xml:space="preserve">           Outflow of foreign private capital &amp; loans</t>
  </si>
  <si>
    <t xml:space="preserve">           Investment &amp; loans granted abroad</t>
  </si>
  <si>
    <t xml:space="preserve">           Purchase of foreign equities,bonds,treasury bills</t>
  </si>
  <si>
    <t xml:space="preserve">           Repayment of Special Drawing Right</t>
  </si>
  <si>
    <t xml:space="preserve">           Other payment</t>
  </si>
  <si>
    <t>Currency rate adjustments &amp; unregistered transactions</t>
  </si>
  <si>
    <t>BALANCE</t>
  </si>
  <si>
    <t>Discontinuos Transfers</t>
  </si>
  <si>
    <t>Dis:BOP &amp; BOE</t>
  </si>
  <si>
    <t>Dis:Services Receipts in BOE &amp; BOP</t>
  </si>
  <si>
    <t xml:space="preserve">Dis:Services Payments in BOE &amp; BOP </t>
  </si>
  <si>
    <t>Dis:Goods Receipts in BOE &amp; BOP</t>
  </si>
  <si>
    <t>Dis:Goods Payments in BOE &amp; BOP</t>
  </si>
  <si>
    <t>Capital Account</t>
  </si>
  <si>
    <t xml:space="preserve">   Money Sector</t>
  </si>
  <si>
    <t xml:space="preserve">             Loans &amp; credit in long term</t>
  </si>
  <si>
    <t xml:space="preserve">             Loans &amp; credit in short term</t>
  </si>
  <si>
    <t xml:space="preserve">      Government</t>
  </si>
  <si>
    <t xml:space="preserve">             Loans &amp; credit in short term in oil sector</t>
  </si>
  <si>
    <t xml:space="preserve">             Transfers from oil account</t>
  </si>
  <si>
    <t xml:space="preserve">             Foreign loans &amp; credits</t>
  </si>
  <si>
    <t xml:space="preserve">             Changes in rials in foreign</t>
  </si>
  <si>
    <t xml:space="preserve">             PAZIREH</t>
  </si>
  <si>
    <t xml:space="preserve">             Investment &amp; loans granted abroad</t>
  </si>
  <si>
    <t xml:space="preserve">             Foreign equities,bonds,treasury bills</t>
  </si>
  <si>
    <t xml:space="preserve">   Non-Money Sector</t>
  </si>
  <si>
    <t xml:space="preserve">             Commercial Banks</t>
  </si>
  <si>
    <t xml:space="preserve">                      Liabilities</t>
  </si>
  <si>
    <t xml:space="preserve">                      Asset</t>
  </si>
  <si>
    <t xml:space="preserve">                      Gold with Bank</t>
  </si>
  <si>
    <t xml:space="preserve">            Specialize  Banks</t>
  </si>
  <si>
    <t xml:space="preserve">            Central Bank</t>
  </si>
  <si>
    <t xml:space="preserve">                     Long term loans</t>
  </si>
  <si>
    <t xml:space="preserve">                     PEYMANHAYE</t>
  </si>
  <si>
    <t xml:space="preserve">  Special Drawing Right</t>
  </si>
  <si>
    <t xml:space="preserve">   Capital Acount</t>
  </si>
  <si>
    <t>CAPITAL ACCOUNT in  (BOP)</t>
  </si>
  <si>
    <t xml:space="preserve"> Discrepancies</t>
  </si>
  <si>
    <t>Source: IFS</t>
  </si>
  <si>
    <t>CURR. ACCT. EXCL. EXCEP. FIN.</t>
  </si>
  <si>
    <t>MERCHANDISE: EXPORTS FOB</t>
  </si>
  <si>
    <t>MERCHANDISE: IMPORTS FOB</t>
  </si>
  <si>
    <t>TRADE BALANCE FOB</t>
  </si>
  <si>
    <t>OTH.GOODS,SERV.,&amp; INCOME CRED</t>
  </si>
  <si>
    <t>OTH.GOODS,SERV.,&amp; INCOME DEB</t>
  </si>
  <si>
    <t>PRIVATE UNREQUITED TRANSF.</t>
  </si>
  <si>
    <t>OFFICIAL UNREQUITED TRFS, NIE</t>
  </si>
  <si>
    <t>NONFACTOR SERVICES: CREDIT</t>
  </si>
  <si>
    <t>NONFACTOR SERVICES: DEBIT</t>
  </si>
  <si>
    <t>INCOME: CREDIT</t>
  </si>
  <si>
    <t>INCOME: DEBIT</t>
  </si>
  <si>
    <t>DIRECT INVESTMENT, N.I.E.</t>
  </si>
  <si>
    <t>PORTFOLIO INVESTMENT, N.I.E.</t>
  </si>
  <si>
    <t>OTHER LONG-TERM CAPITAL, NIE</t>
  </si>
  <si>
    <t>OTHER SHORT-TERM CAPITAL, NIE</t>
  </si>
  <si>
    <t>NET ERRORS AND OMISSIONS</t>
  </si>
  <si>
    <t>OTHER CAPITAL, N.I.E.</t>
  </si>
  <si>
    <t>OTHER CAPITAL NIE:RES.OFF.SECT.</t>
  </si>
  <si>
    <t>OTHER CAPITAL NIE:DEP.MON.BANKS</t>
  </si>
  <si>
    <t>OTHER CAPITAL NIE: OTH.SECTORS</t>
  </si>
  <si>
    <t>OVERALL BALANCE</t>
  </si>
  <si>
    <t>RESERVES AND RELATED ITEMS</t>
  </si>
  <si>
    <t>EXCEPTIONAL FINANCING</t>
  </si>
  <si>
    <t>LIAB.CONST.FOR.AUTHOR.RESERV.</t>
  </si>
  <si>
    <t>RESERVE ASSETS</t>
  </si>
  <si>
    <t>CRED.FR.FUND &amp; FUND ADM.RES.</t>
  </si>
  <si>
    <t>TOTAL CHANGE IN RES.ASSETS</t>
  </si>
  <si>
    <t>REVAL. IN RESERVE ASSETS</t>
  </si>
  <si>
    <t>RIALS:(data from revised publication)</t>
  </si>
  <si>
    <t>T.1380</t>
  </si>
  <si>
    <t>Time adjustment+statistical discrepancies</t>
  </si>
</sst>
</file>

<file path=xl/styles.xml><?xml version="1.0" encoding="utf-8"?>
<styleSheet xmlns="http://schemas.openxmlformats.org/spreadsheetml/2006/main">
  <numFmts count="3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سéآن&quot;#,##0_);\(&quot;سéآن&quot;#,##0\)"/>
    <numFmt numFmtId="173" formatCode="&quot;سéآن&quot;#,##0_);[Red]\(&quot;سéآن&quot;#,##0\)"/>
    <numFmt numFmtId="174" formatCode="&quot;سéآن&quot;#,##0.00_);\(&quot;سéآن&quot;#,##0.00\)"/>
    <numFmt numFmtId="175" formatCode="&quot;سéآن&quot;#,##0.00_);[Red]\(&quot;سéآن&quot;#,##0.00\)"/>
    <numFmt numFmtId="176" formatCode="_(&quot;سéآن&quot;* #,##0_);_(&quot;سéآن&quot;* \(#,##0\);_(&quot;سéآن&quot;* &quot;-&quot;_);_(@_)"/>
    <numFmt numFmtId="177" formatCode="_(&quot;سéآن&quot;* #,##0.00_);_(&quot;سéآن&quot;* \(#,##0.00\);_(&quot;سéآن&quot;* &quot;-&quot;??_);_(@_)"/>
    <numFmt numFmtId="178" formatCode="0.0"/>
    <numFmt numFmtId="179" formatCode="0_)"/>
    <numFmt numFmtId="180" formatCode="0.000"/>
    <numFmt numFmtId="181" formatCode="0.0000"/>
    <numFmt numFmtId="182" formatCode="0.000000"/>
    <numFmt numFmtId="183" formatCode="0.0000000"/>
    <numFmt numFmtId="184" formatCode="0.00000"/>
    <numFmt numFmtId="185" formatCode="0.0_)"/>
    <numFmt numFmtId="186" formatCode="0.00_)"/>
    <numFmt numFmtId="187" formatCode="0.000_)"/>
    <numFmt numFmtId="188" formatCode="0.0%"/>
    <numFmt numFmtId="189" formatCode="0.000E+00"/>
    <numFmt numFmtId="190" formatCode="0.0E+00"/>
    <numFmt numFmtId="191" formatCode="0E+0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i/>
      <u val="single"/>
      <sz val="10"/>
      <name val="Arial"/>
      <family val="0"/>
    </font>
    <font>
      <b/>
      <u val="single"/>
      <sz val="10"/>
      <name val="Arial"/>
      <family val="0"/>
    </font>
    <font>
      <b/>
      <i/>
      <sz val="10"/>
      <color indexed="32"/>
      <name val="Arial"/>
      <family val="0"/>
    </font>
    <font>
      <b/>
      <sz val="10"/>
      <color indexed="8"/>
      <name val="Arial"/>
      <family val="2"/>
    </font>
    <font>
      <b/>
      <i/>
      <u val="single"/>
      <sz val="10"/>
      <color indexed="32"/>
      <name val="Arial"/>
      <family val="0"/>
    </font>
    <font>
      <b/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i/>
      <u val="single"/>
      <sz val="11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1"/>
      <name val="Arial"/>
      <family val="0"/>
    </font>
    <font>
      <b/>
      <sz val="10"/>
      <color indexed="37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0"/>
      <color indexed="37"/>
      <name val="Arial"/>
      <family val="2"/>
    </font>
    <font>
      <b/>
      <sz val="14"/>
      <name val="Arial"/>
      <family val="2"/>
    </font>
    <font>
      <sz val="10"/>
      <color indexed="12"/>
      <name val="Courier"/>
      <family val="0"/>
    </font>
    <font>
      <sz val="10"/>
      <color indexed="39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darkHorizontal">
        <fgColor indexed="32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ouble">
        <color indexed="62"/>
      </top>
      <bottom style="double">
        <color indexed="6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 quotePrefix="1">
      <alignment horizontal="lef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8" fillId="0" borderId="0" xfId="0" applyFont="1" applyBorder="1" applyAlignment="1">
      <alignment/>
    </xf>
    <xf numFmtId="0" fontId="12" fillId="0" borderId="0" xfId="0" applyFont="1" applyBorder="1" applyAlignment="1" quotePrefix="1">
      <alignment horizontal="left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0" fontId="0" fillId="0" borderId="0" xfId="0" applyAlignment="1" quotePrefix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 quotePrefix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Border="1" applyAlignment="1" quotePrefix="1">
      <alignment horizontal="left"/>
    </xf>
    <xf numFmtId="0" fontId="18" fillId="0" borderId="0" xfId="0" applyFont="1" applyAlignment="1" quotePrefix="1">
      <alignment horizontal="left"/>
    </xf>
    <xf numFmtId="0" fontId="7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6" fillId="2" borderId="2" xfId="0" applyFont="1" applyFill="1" applyBorder="1" applyAlignment="1">
      <alignment/>
    </xf>
    <xf numFmtId="178" fontId="4" fillId="0" borderId="0" xfId="0" applyNumberFormat="1" applyFont="1" applyAlignment="1">
      <alignment horizontal="center"/>
    </xf>
    <xf numFmtId="178" fontId="1" fillId="0" borderId="0" xfId="0" applyNumberFormat="1" applyFon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0" fillId="0" borderId="0" xfId="0" applyNumberFormat="1" applyAlignment="1">
      <alignment horizontal="center"/>
    </xf>
    <xf numFmtId="178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 quotePrefix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Border="1" applyAlignment="1" quotePrefix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 quotePrefix="1">
      <alignment horizont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15" fillId="0" borderId="0" xfId="0" applyFont="1" applyBorder="1" applyAlignment="1" quotePrefix="1">
      <alignment horizontal="center" vertical="center"/>
    </xf>
    <xf numFmtId="0" fontId="15" fillId="0" borderId="0" xfId="0" applyFont="1" applyBorder="1" applyAlignment="1">
      <alignment horizontal="center" vertical="center"/>
    </xf>
    <xf numFmtId="178" fontId="17" fillId="0" borderId="0" xfId="0" applyNumberFormat="1" applyFont="1" applyBorder="1" applyAlignment="1">
      <alignment horizontal="center"/>
    </xf>
    <xf numFmtId="178" fontId="17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78" fontId="20" fillId="0" borderId="0" xfId="0" applyNumberFormat="1" applyFont="1" applyBorder="1" applyAlignment="1">
      <alignment horizontal="center"/>
    </xf>
    <xf numFmtId="178" fontId="8" fillId="0" borderId="0" xfId="0" applyNumberFormat="1" applyFont="1" applyBorder="1" applyAlignment="1">
      <alignment horizontal="center"/>
    </xf>
    <xf numFmtId="178" fontId="20" fillId="0" borderId="0" xfId="0" applyNumberFormat="1" applyFont="1" applyAlignment="1">
      <alignment horizontal="center"/>
    </xf>
    <xf numFmtId="178" fontId="21" fillId="0" borderId="0" xfId="0" applyNumberFormat="1" applyFont="1" applyAlignment="1">
      <alignment horizontal="center"/>
    </xf>
    <xf numFmtId="178" fontId="4" fillId="0" borderId="0" xfId="0" applyNumberFormat="1" applyFont="1" applyBorder="1" applyAlignment="1">
      <alignment horizontal="center"/>
    </xf>
    <xf numFmtId="178" fontId="8" fillId="0" borderId="0" xfId="0" applyNumberFormat="1" applyFont="1" applyAlignment="1">
      <alignment horizontal="center"/>
    </xf>
    <xf numFmtId="0" fontId="24" fillId="0" borderId="3" xfId="0" applyFont="1" applyBorder="1" applyAlignment="1" quotePrefix="1">
      <alignment horizontal="center" vertical="center"/>
    </xf>
    <xf numFmtId="179" fontId="25" fillId="0" borderId="0" xfId="0" applyNumberFormat="1" applyFont="1" applyAlignment="1" applyProtection="1">
      <alignment/>
      <protection locked="0"/>
    </xf>
    <xf numFmtId="178" fontId="0" fillId="0" borderId="0" xfId="0" applyNumberFormat="1" applyAlignment="1">
      <alignment horizontal="right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78" fontId="7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27" fillId="4" borderId="0" xfId="0" applyFont="1" applyFill="1" applyBorder="1" applyAlignment="1" quotePrefix="1">
      <alignment horizontal="left"/>
    </xf>
    <xf numFmtId="179" fontId="27" fillId="4" borderId="0" xfId="0" applyNumberFormat="1" applyFont="1" applyFill="1" applyBorder="1" applyAlignment="1" quotePrefix="1">
      <alignment horizontal="center"/>
    </xf>
    <xf numFmtId="0" fontId="8" fillId="4" borderId="0" xfId="0" applyFont="1" applyFill="1" applyBorder="1" applyAlignment="1" quotePrefix="1">
      <alignment horizontal="left"/>
    </xf>
    <xf numFmtId="179" fontId="8" fillId="4" borderId="0" xfId="0" applyNumberFormat="1" applyFont="1" applyFill="1" applyBorder="1" applyAlignment="1" quotePrefix="1">
      <alignment horizontal="center"/>
    </xf>
    <xf numFmtId="0" fontId="4" fillId="4" borderId="0" xfId="0" applyFont="1" applyFill="1" applyBorder="1" applyAlignment="1" quotePrefix="1">
      <alignment horizontal="left"/>
    </xf>
    <xf numFmtId="179" fontId="4" fillId="4" borderId="0" xfId="0" applyNumberFormat="1" applyFont="1" applyFill="1" applyBorder="1" applyAlignment="1" quotePrefix="1">
      <alignment horizontal="center"/>
    </xf>
    <xf numFmtId="0" fontId="8" fillId="4" borderId="0" xfId="0" applyFont="1" applyFill="1" applyBorder="1" applyAlignment="1" quotePrefix="1">
      <alignment horizontal="left"/>
    </xf>
    <xf numFmtId="0" fontId="28" fillId="5" borderId="0" xfId="0" applyFont="1" applyFill="1" applyBorder="1" applyAlignment="1">
      <alignment horizontal="left"/>
    </xf>
    <xf numFmtId="179" fontId="28" fillId="5" borderId="0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left"/>
    </xf>
    <xf numFmtId="179" fontId="4" fillId="4" borderId="5" xfId="0" applyNumberFormat="1" applyFont="1" applyFill="1" applyBorder="1" applyAlignment="1">
      <alignment horizontal="center"/>
    </xf>
    <xf numFmtId="179" fontId="11" fillId="4" borderId="0" xfId="0" applyNumberFormat="1" applyFont="1" applyFill="1" applyBorder="1" applyAlignment="1" quotePrefix="1">
      <alignment horizontal="center"/>
    </xf>
    <xf numFmtId="0" fontId="28" fillId="0" borderId="0" xfId="0" applyFont="1" applyFill="1" applyBorder="1" applyAlignment="1">
      <alignment horizontal="left"/>
    </xf>
    <xf numFmtId="179" fontId="28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6" borderId="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0" fontId="27" fillId="6" borderId="0" xfId="0" applyFont="1" applyFill="1" applyBorder="1" applyAlignment="1" quotePrefix="1">
      <alignment horizontal="left"/>
    </xf>
    <xf numFmtId="179" fontId="27" fillId="6" borderId="0" xfId="0" applyNumberFormat="1" applyFont="1" applyFill="1" applyBorder="1" applyAlignment="1" quotePrefix="1">
      <alignment horizontal="center"/>
    </xf>
    <xf numFmtId="0" fontId="8" fillId="6" borderId="0" xfId="0" applyFont="1" applyFill="1" applyBorder="1" applyAlignment="1" quotePrefix="1">
      <alignment horizontal="left"/>
    </xf>
    <xf numFmtId="179" fontId="8" fillId="6" borderId="0" xfId="0" applyNumberFormat="1" applyFont="1" applyFill="1" applyBorder="1" applyAlignment="1" quotePrefix="1">
      <alignment horizontal="center"/>
    </xf>
    <xf numFmtId="0" fontId="4" fillId="6" borderId="0" xfId="0" applyFont="1" applyFill="1" applyBorder="1" applyAlignment="1" quotePrefix="1">
      <alignment horizontal="left"/>
    </xf>
    <xf numFmtId="179" fontId="4" fillId="6" borderId="0" xfId="0" applyNumberFormat="1" applyFont="1" applyFill="1" applyBorder="1" applyAlignment="1" quotePrefix="1">
      <alignment horizontal="center"/>
    </xf>
    <xf numFmtId="0" fontId="8" fillId="6" borderId="0" xfId="0" applyFont="1" applyFill="1" applyBorder="1" applyAlignment="1" quotePrefix="1">
      <alignment horizontal="left"/>
    </xf>
    <xf numFmtId="0" fontId="28" fillId="7" borderId="0" xfId="0" applyFont="1" applyFill="1" applyBorder="1" applyAlignment="1">
      <alignment horizontal="left"/>
    </xf>
    <xf numFmtId="179" fontId="28" fillId="7" borderId="0" xfId="0" applyNumberFormat="1" applyFont="1" applyFill="1" applyBorder="1" applyAlignment="1">
      <alignment horizontal="center"/>
    </xf>
    <xf numFmtId="0" fontId="4" fillId="6" borderId="5" xfId="0" applyFont="1" applyFill="1" applyBorder="1" applyAlignment="1">
      <alignment horizontal="left"/>
    </xf>
    <xf numFmtId="179" fontId="4" fillId="6" borderId="5" xfId="0" applyNumberFormat="1" applyFont="1" applyFill="1" applyBorder="1" applyAlignment="1">
      <alignment horizontal="center"/>
    </xf>
    <xf numFmtId="179" fontId="11" fillId="6" borderId="0" xfId="0" applyNumberFormat="1" applyFont="1" applyFill="1" applyBorder="1" applyAlignment="1" quotePrefix="1">
      <alignment horizontal="center"/>
    </xf>
    <xf numFmtId="185" fontId="8" fillId="6" borderId="0" xfId="0" applyNumberFormat="1" applyFont="1" applyFill="1" applyBorder="1" applyAlignment="1" quotePrefix="1">
      <alignment horizontal="center"/>
    </xf>
    <xf numFmtId="185" fontId="4" fillId="6" borderId="0" xfId="0" applyNumberFormat="1" applyFont="1" applyFill="1" applyBorder="1" applyAlignment="1" quotePrefix="1">
      <alignment horizontal="center"/>
    </xf>
    <xf numFmtId="0" fontId="15" fillId="8" borderId="0" xfId="0" applyFont="1" applyFill="1" applyBorder="1" applyAlignment="1">
      <alignment horizontal="left" vertical="center"/>
    </xf>
    <xf numFmtId="0" fontId="15" fillId="8" borderId="0" xfId="0" applyFont="1" applyFill="1" applyBorder="1" applyAlignment="1">
      <alignment horizontal="center" vertical="center"/>
    </xf>
    <xf numFmtId="0" fontId="15" fillId="8" borderId="0" xfId="0" applyFont="1" applyFill="1" applyAlignment="1">
      <alignment horizontal="center" vertical="center"/>
    </xf>
    <xf numFmtId="0" fontId="27" fillId="8" borderId="0" xfId="0" applyFont="1" applyFill="1" applyBorder="1" applyAlignment="1" quotePrefix="1">
      <alignment horizontal="left"/>
    </xf>
    <xf numFmtId="0" fontId="8" fillId="8" borderId="0" xfId="0" applyFont="1" applyFill="1" applyBorder="1" applyAlignment="1" quotePrefix="1">
      <alignment horizontal="left"/>
    </xf>
    <xf numFmtId="185" fontId="8" fillId="8" borderId="0" xfId="0" applyNumberFormat="1" applyFont="1" applyFill="1" applyBorder="1" applyAlignment="1" quotePrefix="1">
      <alignment horizontal="center"/>
    </xf>
    <xf numFmtId="0" fontId="4" fillId="8" borderId="0" xfId="0" applyFont="1" applyFill="1" applyBorder="1" applyAlignment="1" quotePrefix="1">
      <alignment horizontal="left"/>
    </xf>
    <xf numFmtId="185" fontId="4" fillId="8" borderId="0" xfId="0" applyNumberFormat="1" applyFont="1" applyFill="1" applyBorder="1" applyAlignment="1" quotePrefix="1">
      <alignment horizontal="center"/>
    </xf>
    <xf numFmtId="0" fontId="8" fillId="8" borderId="0" xfId="0" applyFont="1" applyFill="1" applyBorder="1" applyAlignment="1" quotePrefix="1">
      <alignment horizontal="left"/>
    </xf>
    <xf numFmtId="0" fontId="28" fillId="9" borderId="0" xfId="0" applyFont="1" applyFill="1" applyBorder="1" applyAlignment="1">
      <alignment horizontal="left"/>
    </xf>
    <xf numFmtId="0" fontId="4" fillId="8" borderId="5" xfId="0" applyFont="1" applyFill="1" applyBorder="1" applyAlignment="1">
      <alignment horizontal="left"/>
    </xf>
    <xf numFmtId="179" fontId="4" fillId="8" borderId="5" xfId="0" applyNumberFormat="1" applyFont="1" applyFill="1" applyBorder="1" applyAlignment="1">
      <alignment horizontal="center"/>
    </xf>
    <xf numFmtId="185" fontId="27" fillId="8" borderId="0" xfId="0" applyNumberFormat="1" applyFont="1" applyFill="1" applyBorder="1" applyAlignment="1" quotePrefix="1">
      <alignment horizontal="center"/>
    </xf>
    <xf numFmtId="185" fontId="28" fillId="9" borderId="0" xfId="0" applyNumberFormat="1" applyFont="1" applyFill="1" applyBorder="1" applyAlignment="1">
      <alignment horizontal="center"/>
    </xf>
    <xf numFmtId="185" fontId="11" fillId="8" borderId="0" xfId="0" applyNumberFormat="1" applyFont="1" applyFill="1" applyBorder="1" applyAlignment="1" quotePrefix="1">
      <alignment horizontal="center"/>
    </xf>
    <xf numFmtId="178" fontId="26" fillId="0" borderId="0" xfId="0" applyNumberFormat="1" applyFont="1" applyAlignment="1">
      <alignment horizontal="center"/>
    </xf>
    <xf numFmtId="190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2" fillId="10" borderId="0" xfId="0" applyFont="1" applyFill="1" applyBorder="1" applyAlignment="1">
      <alignment horizontal="center"/>
    </xf>
    <xf numFmtId="178" fontId="0" fillId="0" borderId="0" xfId="0" applyNumberFormat="1" applyFont="1" applyAlignment="1">
      <alignment horizontal="center"/>
    </xf>
    <xf numFmtId="178" fontId="5" fillId="0" borderId="0" xfId="0" applyNumberFormat="1" applyFont="1" applyAlignment="1">
      <alignment horizontal="center"/>
    </xf>
    <xf numFmtId="178" fontId="0" fillId="0" borderId="0" xfId="0" applyNumberFormat="1" applyAlignment="1">
      <alignment/>
    </xf>
    <xf numFmtId="178" fontId="5" fillId="0" borderId="0" xfId="0" applyNumberFormat="1" applyFont="1" applyAlignment="1">
      <alignment horizontal="center"/>
    </xf>
    <xf numFmtId="178" fontId="12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552450</xdr:colOff>
      <xdr:row>161</xdr:row>
      <xdr:rowOff>142875</xdr:rowOff>
    </xdr:from>
    <xdr:to>
      <xdr:col>38</xdr:col>
      <xdr:colOff>552450</xdr:colOff>
      <xdr:row>161</xdr:row>
      <xdr:rowOff>152400</xdr:rowOff>
    </xdr:to>
    <xdr:sp>
      <xdr:nvSpPr>
        <xdr:cNvPr id="1" name="Drawing 1"/>
        <xdr:cNvSpPr>
          <a:spLocks/>
        </xdr:cNvSpPr>
      </xdr:nvSpPr>
      <xdr:spPr>
        <a:xfrm>
          <a:off x="26498550" y="29546550"/>
          <a:ext cx="0" cy="9525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51</xdr:col>
      <xdr:colOff>9525</xdr:colOff>
      <xdr:row>189</xdr:row>
      <xdr:rowOff>19050</xdr:rowOff>
    </xdr:from>
    <xdr:to>
      <xdr:col>52</xdr:col>
      <xdr:colOff>19050</xdr:colOff>
      <xdr:row>191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80425" y="33956625"/>
          <a:ext cx="6191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51</xdr:col>
      <xdr:colOff>9525</xdr:colOff>
      <xdr:row>193</xdr:row>
      <xdr:rowOff>0</xdr:rowOff>
    </xdr:from>
    <xdr:to>
      <xdr:col>52</xdr:col>
      <xdr:colOff>19050</xdr:colOff>
      <xdr:row>197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80425" y="34585275"/>
          <a:ext cx="6191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133350</xdr:colOff>
      <xdr:row>334</xdr:row>
      <xdr:rowOff>19050</xdr:rowOff>
    </xdr:from>
    <xdr:to>
      <xdr:col>3</xdr:col>
      <xdr:colOff>133350</xdr:colOff>
      <xdr:row>334</xdr:row>
      <xdr:rowOff>28575</xdr:rowOff>
    </xdr:to>
    <xdr:sp>
      <xdr:nvSpPr>
        <xdr:cNvPr id="4" name="Oval 5"/>
        <xdr:cNvSpPr>
          <a:spLocks/>
        </xdr:cNvSpPr>
      </xdr:nvSpPr>
      <xdr:spPr>
        <a:xfrm>
          <a:off x="4743450" y="57397650"/>
          <a:ext cx="0" cy="95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448</xdr:row>
      <xdr:rowOff>0</xdr:rowOff>
    </xdr:from>
    <xdr:to>
      <xdr:col>20</xdr:col>
      <xdr:colOff>514350</xdr:colOff>
      <xdr:row>448</xdr:row>
      <xdr:rowOff>0</xdr:rowOff>
    </xdr:to>
    <xdr:sp>
      <xdr:nvSpPr>
        <xdr:cNvPr id="5" name="Drawing 6"/>
        <xdr:cNvSpPr>
          <a:spLocks/>
        </xdr:cNvSpPr>
      </xdr:nvSpPr>
      <xdr:spPr>
        <a:xfrm>
          <a:off x="15154275" y="75990450"/>
          <a:ext cx="333375" cy="0"/>
        </a:xfrm>
        <a:custGeom>
          <a:pathLst>
            <a:path h="16384" w="16384">
              <a:moveTo>
                <a:pt x="2341" y="9362"/>
              </a:moveTo>
              <a:lnTo>
                <a:pt x="0" y="9362"/>
              </a:lnTo>
              <a:lnTo>
                <a:pt x="1404" y="9362"/>
              </a:lnTo>
              <a:lnTo>
                <a:pt x="7022" y="16384"/>
              </a:lnTo>
              <a:lnTo>
                <a:pt x="8426" y="16384"/>
              </a:lnTo>
              <a:lnTo>
                <a:pt x="8894" y="9362"/>
              </a:lnTo>
              <a:lnTo>
                <a:pt x="7490" y="4681"/>
              </a:lnTo>
              <a:lnTo>
                <a:pt x="5617" y="2341"/>
              </a:lnTo>
              <a:lnTo>
                <a:pt x="2341" y="9362"/>
              </a:lnTo>
              <a:lnTo>
                <a:pt x="16384" y="0"/>
              </a:lnTo>
            </a:path>
          </a:pathLst>
        </a:custGeom>
        <a:solidFill>
          <a:srgbClr val="FFFFFF"/>
        </a:solidFill>
        <a:ln w="1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148</xdr:row>
      <xdr:rowOff>152400</xdr:rowOff>
    </xdr:from>
    <xdr:to>
      <xdr:col>9</xdr:col>
      <xdr:colOff>76200</xdr:colOff>
      <xdr:row>148</xdr:row>
      <xdr:rowOff>152400</xdr:rowOff>
    </xdr:to>
    <xdr:sp>
      <xdr:nvSpPr>
        <xdr:cNvPr id="6" name="Drawing 7"/>
        <xdr:cNvSpPr>
          <a:spLocks/>
        </xdr:cNvSpPr>
      </xdr:nvSpPr>
      <xdr:spPr>
        <a:xfrm>
          <a:off x="8286750" y="27422475"/>
          <a:ext cx="57150" cy="0"/>
        </a:xfrm>
        <a:custGeom>
          <a:pathLst>
            <a:path h="16384" w="16384">
              <a:moveTo>
                <a:pt x="16384" y="0"/>
              </a:moveTo>
              <a:lnTo>
                <a:pt x="13653" y="0"/>
              </a:lnTo>
              <a:lnTo>
                <a:pt x="2731" y="16384"/>
              </a:lnTo>
              <a:lnTo>
                <a:pt x="16384" y="0"/>
              </a:lnTo>
              <a:lnTo>
                <a:pt x="0" y="16384"/>
              </a:lnTo>
              <a:lnTo>
                <a:pt x="16384" y="0"/>
              </a:lnTo>
              <a:close/>
            </a:path>
          </a:pathLst>
        </a:cu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326</xdr:row>
      <xdr:rowOff>0</xdr:rowOff>
    </xdr:from>
    <xdr:to>
      <xdr:col>1</xdr:col>
      <xdr:colOff>0</xdr:colOff>
      <xdr:row>326</xdr:row>
      <xdr:rowOff>9525</xdr:rowOff>
    </xdr:to>
    <xdr:sp>
      <xdr:nvSpPr>
        <xdr:cNvPr id="7" name="Drawing 8"/>
        <xdr:cNvSpPr>
          <a:spLocks/>
        </xdr:cNvSpPr>
      </xdr:nvSpPr>
      <xdr:spPr>
        <a:xfrm>
          <a:off x="3390900" y="56083200"/>
          <a:ext cx="0" cy="9525"/>
        </a:xfrm>
        <a:custGeom>
          <a:pathLst>
            <a:path h="16384" w="16384">
              <a:moveTo>
                <a:pt x="0" y="16384"/>
              </a:moveTo>
              <a:lnTo>
                <a:pt x="0" y="0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325</xdr:row>
      <xdr:rowOff>123825</xdr:rowOff>
    </xdr:from>
    <xdr:to>
      <xdr:col>31</xdr:col>
      <xdr:colOff>19050</xdr:colOff>
      <xdr:row>326</xdr:row>
      <xdr:rowOff>19050</xdr:rowOff>
    </xdr:to>
    <xdr:sp>
      <xdr:nvSpPr>
        <xdr:cNvPr id="8" name="Drawing 9"/>
        <xdr:cNvSpPr>
          <a:spLocks/>
        </xdr:cNvSpPr>
      </xdr:nvSpPr>
      <xdr:spPr>
        <a:xfrm>
          <a:off x="21678900" y="56045100"/>
          <a:ext cx="19050" cy="571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8192" y="8192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448</xdr:row>
      <xdr:rowOff>0</xdr:rowOff>
    </xdr:from>
    <xdr:to>
      <xdr:col>10</xdr:col>
      <xdr:colOff>609600</xdr:colOff>
      <xdr:row>448</xdr:row>
      <xdr:rowOff>0</xdr:rowOff>
    </xdr:to>
    <xdr:sp>
      <xdr:nvSpPr>
        <xdr:cNvPr id="9" name="Drawing 10"/>
        <xdr:cNvSpPr>
          <a:spLocks/>
        </xdr:cNvSpPr>
      </xdr:nvSpPr>
      <xdr:spPr>
        <a:xfrm>
          <a:off x="8877300" y="75990450"/>
          <a:ext cx="609600" cy="0"/>
        </a:xfrm>
        <a:custGeom>
          <a:pathLst>
            <a:path h="16384" w="16384">
              <a:moveTo>
                <a:pt x="16279" y="0"/>
              </a:moveTo>
              <a:lnTo>
                <a:pt x="16384" y="16384"/>
              </a:lnTo>
              <a:lnTo>
                <a:pt x="0" y="16384"/>
              </a:lnTo>
            </a:path>
          </a:pathLst>
        </a:custGeom>
        <a:solidFill>
          <a:srgbClr val="FFFFFF"/>
        </a:solidFill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609600</xdr:colOff>
      <xdr:row>448</xdr:row>
      <xdr:rowOff>0</xdr:rowOff>
    </xdr:from>
    <xdr:to>
      <xdr:col>11</xdr:col>
      <xdr:colOff>0</xdr:colOff>
      <xdr:row>448</xdr:row>
      <xdr:rowOff>0</xdr:rowOff>
    </xdr:to>
    <xdr:sp>
      <xdr:nvSpPr>
        <xdr:cNvPr id="10" name="Drawing 11"/>
        <xdr:cNvSpPr>
          <a:spLocks/>
        </xdr:cNvSpPr>
      </xdr:nvSpPr>
      <xdr:spPr>
        <a:xfrm>
          <a:off x="9486900" y="75990450"/>
          <a:ext cx="0" cy="0"/>
        </a:xfrm>
        <a:custGeom>
          <a:pathLst>
            <a:path h="16384" w="16384">
              <a:moveTo>
                <a:pt x="16384" y="0"/>
              </a:moveTo>
              <a:lnTo>
                <a:pt x="16384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448</xdr:row>
      <xdr:rowOff>0</xdr:rowOff>
    </xdr:from>
    <xdr:to>
      <xdr:col>11</xdr:col>
      <xdr:colOff>0</xdr:colOff>
      <xdr:row>448</xdr:row>
      <xdr:rowOff>0</xdr:rowOff>
    </xdr:to>
    <xdr:sp>
      <xdr:nvSpPr>
        <xdr:cNvPr id="11" name="Drawing 12"/>
        <xdr:cNvSpPr>
          <a:spLocks/>
        </xdr:cNvSpPr>
      </xdr:nvSpPr>
      <xdr:spPr>
        <a:xfrm>
          <a:off x="9172575" y="75990450"/>
          <a:ext cx="314325" cy="0"/>
        </a:xfrm>
        <a:custGeom>
          <a:pathLst>
            <a:path h="16384" w="16384">
              <a:moveTo>
                <a:pt x="16384" y="16384"/>
              </a:moveTo>
              <a:lnTo>
                <a:pt x="59" y="2731"/>
              </a:lnTo>
              <a:lnTo>
                <a:pt x="0" y="2731"/>
              </a:lnTo>
              <a:lnTo>
                <a:pt x="0" y="5461"/>
              </a:lnTo>
              <a:lnTo>
                <a:pt x="59" y="0"/>
              </a:lnTo>
            </a:path>
          </a:pathLst>
        </a:cu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609600</xdr:colOff>
      <xdr:row>448</xdr:row>
      <xdr:rowOff>0</xdr:rowOff>
    </xdr:from>
    <xdr:to>
      <xdr:col>11</xdr:col>
      <xdr:colOff>0</xdr:colOff>
      <xdr:row>448</xdr:row>
      <xdr:rowOff>0</xdr:rowOff>
    </xdr:to>
    <xdr:sp>
      <xdr:nvSpPr>
        <xdr:cNvPr id="12" name="Drawing 13"/>
        <xdr:cNvSpPr>
          <a:spLocks/>
        </xdr:cNvSpPr>
      </xdr:nvSpPr>
      <xdr:spPr>
        <a:xfrm>
          <a:off x="9486900" y="75990450"/>
          <a:ext cx="0" cy="0"/>
        </a:xfrm>
        <a:custGeom>
          <a:pathLst>
            <a:path h="16384" w="16384">
              <a:moveTo>
                <a:pt x="15474" y="16384"/>
              </a:moveTo>
              <a:lnTo>
                <a:pt x="16384" y="10923"/>
              </a:lnTo>
              <a:lnTo>
                <a:pt x="0" y="0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1</xdr:col>
      <xdr:colOff>0</xdr:colOff>
      <xdr:row>0</xdr:row>
      <xdr:rowOff>85725</xdr:rowOff>
    </xdr:to>
    <xdr:sp>
      <xdr:nvSpPr>
        <xdr:cNvPr id="13" name="Rectangle 14"/>
        <xdr:cNvSpPr>
          <a:spLocks/>
        </xdr:cNvSpPr>
      </xdr:nvSpPr>
      <xdr:spPr>
        <a:xfrm>
          <a:off x="9525" y="9525"/>
          <a:ext cx="3381375" cy="7620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247650</xdr:rowOff>
    </xdr:from>
    <xdr:to>
      <xdr:col>1</xdr:col>
      <xdr:colOff>0</xdr:colOff>
      <xdr:row>0</xdr:row>
      <xdr:rowOff>323850</xdr:rowOff>
    </xdr:to>
    <xdr:sp>
      <xdr:nvSpPr>
        <xdr:cNvPr id="14" name="Rectangle 15"/>
        <xdr:cNvSpPr>
          <a:spLocks/>
        </xdr:cNvSpPr>
      </xdr:nvSpPr>
      <xdr:spPr>
        <a:xfrm>
          <a:off x="19050" y="247650"/>
          <a:ext cx="3371850" cy="7620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2933700</xdr:colOff>
      <xdr:row>0</xdr:row>
      <xdr:rowOff>247650</xdr:rowOff>
    </xdr:from>
    <xdr:to>
      <xdr:col>45</xdr:col>
      <xdr:colOff>47625</xdr:colOff>
      <xdr:row>0</xdr:row>
      <xdr:rowOff>314325</xdr:rowOff>
    </xdr:to>
    <xdr:sp>
      <xdr:nvSpPr>
        <xdr:cNvPr id="15" name="Rectangle 16"/>
        <xdr:cNvSpPr>
          <a:spLocks/>
        </xdr:cNvSpPr>
      </xdr:nvSpPr>
      <xdr:spPr>
        <a:xfrm>
          <a:off x="2933700" y="247650"/>
          <a:ext cx="27327225" cy="66675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3333750</xdr:colOff>
      <xdr:row>0</xdr:row>
      <xdr:rowOff>19050</xdr:rowOff>
    </xdr:from>
    <xdr:to>
      <xdr:col>1</xdr:col>
      <xdr:colOff>0</xdr:colOff>
      <xdr:row>0</xdr:row>
      <xdr:rowOff>76200</xdr:rowOff>
    </xdr:to>
    <xdr:sp>
      <xdr:nvSpPr>
        <xdr:cNvPr id="16" name="Rectangle 17"/>
        <xdr:cNvSpPr>
          <a:spLocks/>
        </xdr:cNvSpPr>
      </xdr:nvSpPr>
      <xdr:spPr>
        <a:xfrm>
          <a:off x="3333750" y="19050"/>
          <a:ext cx="57150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2838450</xdr:colOff>
      <xdr:row>0</xdr:row>
      <xdr:rowOff>0</xdr:rowOff>
    </xdr:from>
    <xdr:to>
      <xdr:col>45</xdr:col>
      <xdr:colOff>57150</xdr:colOff>
      <xdr:row>0</xdr:row>
      <xdr:rowOff>85725</xdr:rowOff>
    </xdr:to>
    <xdr:sp>
      <xdr:nvSpPr>
        <xdr:cNvPr id="17" name="Rectangle 18"/>
        <xdr:cNvSpPr>
          <a:spLocks/>
        </xdr:cNvSpPr>
      </xdr:nvSpPr>
      <xdr:spPr>
        <a:xfrm>
          <a:off x="2838450" y="0"/>
          <a:ext cx="27432000" cy="85725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3295650</xdr:colOff>
      <xdr:row>0</xdr:row>
      <xdr:rowOff>323850</xdr:rowOff>
    </xdr:from>
    <xdr:to>
      <xdr:col>1</xdr:col>
      <xdr:colOff>38100</xdr:colOff>
      <xdr:row>0</xdr:row>
      <xdr:rowOff>323850</xdr:rowOff>
    </xdr:to>
    <xdr:sp>
      <xdr:nvSpPr>
        <xdr:cNvPr id="18" name="Rectangle 19"/>
        <xdr:cNvSpPr>
          <a:spLocks/>
        </xdr:cNvSpPr>
      </xdr:nvSpPr>
      <xdr:spPr>
        <a:xfrm>
          <a:off x="3295650" y="323850"/>
          <a:ext cx="13335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158</xdr:row>
      <xdr:rowOff>0</xdr:rowOff>
    </xdr:from>
    <xdr:to>
      <xdr:col>9</xdr:col>
      <xdr:colOff>76200</xdr:colOff>
      <xdr:row>158</xdr:row>
      <xdr:rowOff>0</xdr:rowOff>
    </xdr:to>
    <xdr:sp>
      <xdr:nvSpPr>
        <xdr:cNvPr id="19" name="Drawing 20"/>
        <xdr:cNvSpPr>
          <a:spLocks/>
        </xdr:cNvSpPr>
      </xdr:nvSpPr>
      <xdr:spPr>
        <a:xfrm>
          <a:off x="8286750" y="28936950"/>
          <a:ext cx="57150" cy="0"/>
        </a:xfrm>
        <a:custGeom>
          <a:pathLst>
            <a:path h="16384" w="16384">
              <a:moveTo>
                <a:pt x="16384" y="0"/>
              </a:moveTo>
              <a:lnTo>
                <a:pt x="13653" y="0"/>
              </a:lnTo>
              <a:lnTo>
                <a:pt x="2731" y="16384"/>
              </a:lnTo>
              <a:lnTo>
                <a:pt x="16384" y="0"/>
              </a:lnTo>
              <a:lnTo>
                <a:pt x="0" y="16384"/>
              </a:lnTo>
              <a:lnTo>
                <a:pt x="16384" y="0"/>
              </a:lnTo>
              <a:close/>
            </a:path>
          </a:pathLst>
        </a:cu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552450</xdr:colOff>
      <xdr:row>161</xdr:row>
      <xdr:rowOff>142875</xdr:rowOff>
    </xdr:from>
    <xdr:to>
      <xdr:col>39</xdr:col>
      <xdr:colOff>552450</xdr:colOff>
      <xdr:row>161</xdr:row>
      <xdr:rowOff>152400</xdr:rowOff>
    </xdr:to>
    <xdr:sp>
      <xdr:nvSpPr>
        <xdr:cNvPr id="20" name="Drawing 21"/>
        <xdr:cNvSpPr>
          <a:spLocks/>
        </xdr:cNvSpPr>
      </xdr:nvSpPr>
      <xdr:spPr>
        <a:xfrm>
          <a:off x="27108150" y="29546550"/>
          <a:ext cx="0" cy="9525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552450</xdr:colOff>
      <xdr:row>161</xdr:row>
      <xdr:rowOff>142875</xdr:rowOff>
    </xdr:from>
    <xdr:to>
      <xdr:col>40</xdr:col>
      <xdr:colOff>552450</xdr:colOff>
      <xdr:row>161</xdr:row>
      <xdr:rowOff>152400</xdr:rowOff>
    </xdr:to>
    <xdr:sp>
      <xdr:nvSpPr>
        <xdr:cNvPr id="21" name="Drawing 22"/>
        <xdr:cNvSpPr>
          <a:spLocks/>
        </xdr:cNvSpPr>
      </xdr:nvSpPr>
      <xdr:spPr>
        <a:xfrm>
          <a:off x="27717750" y="29546550"/>
          <a:ext cx="0" cy="9525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552450</xdr:colOff>
      <xdr:row>161</xdr:row>
      <xdr:rowOff>142875</xdr:rowOff>
    </xdr:from>
    <xdr:to>
      <xdr:col>41</xdr:col>
      <xdr:colOff>552450</xdr:colOff>
      <xdr:row>161</xdr:row>
      <xdr:rowOff>152400</xdr:rowOff>
    </xdr:to>
    <xdr:sp>
      <xdr:nvSpPr>
        <xdr:cNvPr id="22" name="Drawing 23"/>
        <xdr:cNvSpPr>
          <a:spLocks/>
        </xdr:cNvSpPr>
      </xdr:nvSpPr>
      <xdr:spPr>
        <a:xfrm>
          <a:off x="28327350" y="29546550"/>
          <a:ext cx="0" cy="9525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552450</xdr:colOff>
      <xdr:row>161</xdr:row>
      <xdr:rowOff>142875</xdr:rowOff>
    </xdr:from>
    <xdr:to>
      <xdr:col>42</xdr:col>
      <xdr:colOff>552450</xdr:colOff>
      <xdr:row>161</xdr:row>
      <xdr:rowOff>152400</xdr:rowOff>
    </xdr:to>
    <xdr:sp>
      <xdr:nvSpPr>
        <xdr:cNvPr id="23" name="Drawing 24"/>
        <xdr:cNvSpPr>
          <a:spLocks/>
        </xdr:cNvSpPr>
      </xdr:nvSpPr>
      <xdr:spPr>
        <a:xfrm>
          <a:off x="28936950" y="29546550"/>
          <a:ext cx="0" cy="9525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552450</xdr:colOff>
      <xdr:row>161</xdr:row>
      <xdr:rowOff>142875</xdr:rowOff>
    </xdr:from>
    <xdr:to>
      <xdr:col>40</xdr:col>
      <xdr:colOff>552450</xdr:colOff>
      <xdr:row>161</xdr:row>
      <xdr:rowOff>152400</xdr:rowOff>
    </xdr:to>
    <xdr:sp>
      <xdr:nvSpPr>
        <xdr:cNvPr id="24" name="Drawing 25"/>
        <xdr:cNvSpPr>
          <a:spLocks/>
        </xdr:cNvSpPr>
      </xdr:nvSpPr>
      <xdr:spPr>
        <a:xfrm>
          <a:off x="27717750" y="29546550"/>
          <a:ext cx="0" cy="9525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552450</xdr:colOff>
      <xdr:row>161</xdr:row>
      <xdr:rowOff>142875</xdr:rowOff>
    </xdr:from>
    <xdr:to>
      <xdr:col>43</xdr:col>
      <xdr:colOff>552450</xdr:colOff>
      <xdr:row>161</xdr:row>
      <xdr:rowOff>152400</xdr:rowOff>
    </xdr:to>
    <xdr:sp>
      <xdr:nvSpPr>
        <xdr:cNvPr id="25" name="Drawing 24"/>
        <xdr:cNvSpPr>
          <a:spLocks/>
        </xdr:cNvSpPr>
      </xdr:nvSpPr>
      <xdr:spPr>
        <a:xfrm>
          <a:off x="29546550" y="29546550"/>
          <a:ext cx="0" cy="9525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552450</xdr:colOff>
      <xdr:row>161</xdr:row>
      <xdr:rowOff>142875</xdr:rowOff>
    </xdr:from>
    <xdr:to>
      <xdr:col>44</xdr:col>
      <xdr:colOff>552450</xdr:colOff>
      <xdr:row>161</xdr:row>
      <xdr:rowOff>152400</xdr:rowOff>
    </xdr:to>
    <xdr:sp>
      <xdr:nvSpPr>
        <xdr:cNvPr id="26" name="Drawing 24"/>
        <xdr:cNvSpPr>
          <a:spLocks/>
        </xdr:cNvSpPr>
      </xdr:nvSpPr>
      <xdr:spPr>
        <a:xfrm>
          <a:off x="30156150" y="29546550"/>
          <a:ext cx="0" cy="9525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552450</xdr:colOff>
      <xdr:row>161</xdr:row>
      <xdr:rowOff>142875</xdr:rowOff>
    </xdr:from>
    <xdr:to>
      <xdr:col>45</xdr:col>
      <xdr:colOff>552450</xdr:colOff>
      <xdr:row>161</xdr:row>
      <xdr:rowOff>152400</xdr:rowOff>
    </xdr:to>
    <xdr:sp>
      <xdr:nvSpPr>
        <xdr:cNvPr id="27" name="Drawing 24"/>
        <xdr:cNvSpPr>
          <a:spLocks/>
        </xdr:cNvSpPr>
      </xdr:nvSpPr>
      <xdr:spPr>
        <a:xfrm>
          <a:off x="30765750" y="29546550"/>
          <a:ext cx="0" cy="9525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552450</xdr:colOff>
      <xdr:row>161</xdr:row>
      <xdr:rowOff>142875</xdr:rowOff>
    </xdr:from>
    <xdr:to>
      <xdr:col>46</xdr:col>
      <xdr:colOff>552450</xdr:colOff>
      <xdr:row>161</xdr:row>
      <xdr:rowOff>152400</xdr:rowOff>
    </xdr:to>
    <xdr:sp>
      <xdr:nvSpPr>
        <xdr:cNvPr id="28" name="Drawing 24"/>
        <xdr:cNvSpPr>
          <a:spLocks/>
        </xdr:cNvSpPr>
      </xdr:nvSpPr>
      <xdr:spPr>
        <a:xfrm>
          <a:off x="31375350" y="29546550"/>
          <a:ext cx="0" cy="9525"/>
        </a:xfrm>
        <a:custGeom>
          <a:pathLst>
            <a:path h="16384" w="16384">
              <a:moveTo>
                <a:pt x="0" y="0"/>
              </a:moveTo>
              <a:lnTo>
                <a:pt x="0" y="16384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bijan%20bidabad\My%20Documents\Economic%20Data\SNA\SNA138co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rrent"/>
      <sheetName val="Constbase76"/>
      <sheetName val="Defbase76"/>
      <sheetName val="Const53"/>
      <sheetName val="Deflat53"/>
      <sheetName val="Const61"/>
      <sheetName val="Deflat61"/>
      <sheetName val="Const69"/>
      <sheetName val="Deflat69"/>
      <sheetName val="Const80"/>
      <sheetName val="Deflat80"/>
    </sheetNames>
    <sheetDataSet>
      <sheetData sheetId="0">
        <row r="2333">
          <cell r="AR2333">
            <v>0</v>
          </cell>
        </row>
        <row r="2335">
          <cell r="AR2335">
            <v>0</v>
          </cell>
        </row>
        <row r="2338">
          <cell r="AR2338">
            <v>0</v>
          </cell>
        </row>
        <row r="2340">
          <cell r="AR2340">
            <v>0</v>
          </cell>
        </row>
        <row r="2345">
          <cell r="AR2345">
            <v>0</v>
          </cell>
        </row>
        <row r="2346">
          <cell r="AR2346">
            <v>0</v>
          </cell>
        </row>
        <row r="2349">
          <cell r="AR2349">
            <v>0</v>
          </cell>
        </row>
        <row r="2352">
          <cell r="AR2352">
            <v>0</v>
          </cell>
        </row>
        <row r="2354">
          <cell r="AR23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67"/>
  <sheetViews>
    <sheetView tabSelected="1" workbookViewId="0" topLeftCell="A1">
      <pane xSplit="1" ySplit="2" topLeftCell="AN9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T98" sqref="AT98"/>
    </sheetView>
  </sheetViews>
  <sheetFormatPr defaultColWidth="9.140625" defaultRowHeight="12.75"/>
  <cols>
    <col min="1" max="1" width="50.8515625" style="0" customWidth="1"/>
  </cols>
  <sheetData>
    <row r="1" spans="1:47" s="87" customFormat="1" ht="25.5" customHeight="1" thickBot="1">
      <c r="A1" s="107" t="s">
        <v>0</v>
      </c>
      <c r="B1" s="85">
        <v>1338</v>
      </c>
      <c r="C1" s="86">
        <v>1339</v>
      </c>
      <c r="D1" s="85">
        <v>1340</v>
      </c>
      <c r="E1" s="85">
        <v>1341</v>
      </c>
      <c r="F1" s="85">
        <v>1342</v>
      </c>
      <c r="G1" s="85">
        <v>1343</v>
      </c>
      <c r="H1" s="85">
        <v>1344</v>
      </c>
      <c r="I1" s="85">
        <v>1345</v>
      </c>
      <c r="J1" s="85">
        <v>1346</v>
      </c>
      <c r="K1" s="85">
        <v>1347</v>
      </c>
      <c r="L1" s="85">
        <v>1348</v>
      </c>
      <c r="M1" s="85">
        <v>1349</v>
      </c>
      <c r="N1" s="85">
        <v>1350</v>
      </c>
      <c r="O1" s="85">
        <v>1351</v>
      </c>
      <c r="P1" s="85">
        <v>1352</v>
      </c>
      <c r="Q1" s="85">
        <v>1353</v>
      </c>
      <c r="R1" s="85">
        <v>1354</v>
      </c>
      <c r="S1" s="85">
        <v>1355</v>
      </c>
      <c r="T1" s="85">
        <v>1356</v>
      </c>
      <c r="U1" s="85">
        <v>1357</v>
      </c>
      <c r="V1" s="85">
        <v>1358</v>
      </c>
      <c r="W1" s="85">
        <v>1359</v>
      </c>
      <c r="X1" s="85">
        <v>1360</v>
      </c>
      <c r="Y1" s="85">
        <v>1361</v>
      </c>
      <c r="Z1" s="85">
        <v>1362</v>
      </c>
      <c r="AA1" s="85">
        <v>1363</v>
      </c>
      <c r="AB1" s="85">
        <v>1364</v>
      </c>
      <c r="AC1" s="85">
        <v>1365</v>
      </c>
      <c r="AD1" s="85">
        <v>1366</v>
      </c>
      <c r="AE1" s="85">
        <v>1367</v>
      </c>
      <c r="AF1" s="85">
        <v>1368</v>
      </c>
      <c r="AG1" s="86">
        <v>1369</v>
      </c>
      <c r="AH1" s="85">
        <v>1370</v>
      </c>
      <c r="AI1" s="86">
        <v>1371</v>
      </c>
      <c r="AJ1" s="85">
        <v>1372</v>
      </c>
      <c r="AK1" s="86">
        <v>1373</v>
      </c>
      <c r="AL1" s="85">
        <v>1374</v>
      </c>
      <c r="AM1" s="85">
        <v>1375</v>
      </c>
      <c r="AN1" s="85">
        <v>1376</v>
      </c>
      <c r="AO1" s="85">
        <v>1377</v>
      </c>
      <c r="AP1" s="85">
        <v>1378</v>
      </c>
      <c r="AQ1" s="85">
        <v>1379</v>
      </c>
      <c r="AR1" s="85">
        <v>1380</v>
      </c>
      <c r="AS1" s="85">
        <v>1381</v>
      </c>
      <c r="AT1" s="87">
        <v>1382</v>
      </c>
      <c r="AU1" s="87">
        <v>1383</v>
      </c>
    </row>
    <row r="2" spans="1:45" s="87" customFormat="1" ht="6.75" customHeigh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</row>
    <row r="3" spans="1:45" s="87" customFormat="1" ht="12" customHeight="1">
      <c r="A3" s="113" t="s">
        <v>1</v>
      </c>
      <c r="B3" s="114">
        <v>75.75</v>
      </c>
      <c r="C3" s="114">
        <v>75.75</v>
      </c>
      <c r="D3" s="114">
        <v>75.75</v>
      </c>
      <c r="E3" s="114">
        <v>75.75</v>
      </c>
      <c r="F3" s="114">
        <v>75.75</v>
      </c>
      <c r="G3" s="114">
        <v>75.75</v>
      </c>
      <c r="H3" s="114">
        <v>75.75</v>
      </c>
      <c r="I3" s="114">
        <v>75.75</v>
      </c>
      <c r="J3" s="114">
        <v>75.75</v>
      </c>
      <c r="K3" s="114">
        <v>75.75</v>
      </c>
      <c r="L3" s="114">
        <v>75.75</v>
      </c>
      <c r="M3" s="114">
        <v>75.75</v>
      </c>
      <c r="N3" s="114">
        <v>75.75</v>
      </c>
      <c r="O3" s="114">
        <v>68.882</v>
      </c>
      <c r="P3" s="114">
        <v>67.988</v>
      </c>
      <c r="Q3" s="114">
        <v>67.543</v>
      </c>
      <c r="R3" s="114">
        <v>68.163</v>
      </c>
      <c r="S3" s="114">
        <v>70.514</v>
      </c>
      <c r="T3" s="114">
        <v>70.583</v>
      </c>
      <c r="U3" s="114">
        <v>70.475</v>
      </c>
      <c r="V3" s="114">
        <v>70.475</v>
      </c>
      <c r="W3" s="114">
        <v>71.429</v>
      </c>
      <c r="X3" s="114">
        <v>79.833</v>
      </c>
      <c r="Y3" s="114">
        <v>84.388</v>
      </c>
      <c r="Z3" s="114">
        <v>87.201</v>
      </c>
      <c r="AA3" s="114">
        <v>91.72</v>
      </c>
      <c r="AB3" s="114">
        <v>88.051</v>
      </c>
      <c r="AC3" s="114">
        <v>76.814</v>
      </c>
      <c r="AD3" s="114">
        <v>70.098</v>
      </c>
      <c r="AE3" s="114">
        <v>69.228</v>
      </c>
      <c r="AF3" s="114">
        <v>71.998</v>
      </c>
      <c r="AG3" s="114">
        <v>66.939</v>
      </c>
      <c r="AH3" s="114">
        <v>67.803</v>
      </c>
      <c r="AI3" s="114">
        <v>65.727</v>
      </c>
      <c r="AJ3" s="114">
        <v>1646.293</v>
      </c>
      <c r="AK3" s="114">
        <v>1749</v>
      </c>
      <c r="AL3" s="114">
        <v>1747.5</v>
      </c>
      <c r="AM3" s="94"/>
      <c r="AN3" s="94"/>
      <c r="AO3" s="94"/>
      <c r="AP3" s="94"/>
      <c r="AQ3" s="94"/>
      <c r="AR3" s="94"/>
      <c r="AS3" s="94"/>
    </row>
    <row r="4" spans="1:45" s="87" customFormat="1" ht="12" customHeight="1">
      <c r="A4" s="113" t="s">
        <v>2</v>
      </c>
      <c r="B4" s="114">
        <v>75.75</v>
      </c>
      <c r="C4" s="114">
        <v>75.75</v>
      </c>
      <c r="D4" s="114">
        <v>75.75</v>
      </c>
      <c r="E4" s="114">
        <v>75.75</v>
      </c>
      <c r="F4" s="114">
        <v>75.75</v>
      </c>
      <c r="G4" s="114">
        <v>75.75</v>
      </c>
      <c r="H4" s="114">
        <v>75.75</v>
      </c>
      <c r="I4" s="114">
        <v>75.75</v>
      </c>
      <c r="J4" s="114">
        <v>75.75</v>
      </c>
      <c r="K4" s="114">
        <v>75.75</v>
      </c>
      <c r="L4" s="114">
        <v>75.75</v>
      </c>
      <c r="M4" s="114">
        <v>75.75</v>
      </c>
      <c r="N4" s="114">
        <v>75.75</v>
      </c>
      <c r="O4" s="114">
        <v>68.882</v>
      </c>
      <c r="P4" s="114">
        <v>67.988</v>
      </c>
      <c r="Q4" s="114">
        <v>67.543</v>
      </c>
      <c r="R4" s="114">
        <v>68.163</v>
      </c>
      <c r="S4" s="114">
        <v>70.514</v>
      </c>
      <c r="T4" s="114">
        <v>70.583</v>
      </c>
      <c r="U4" s="114">
        <v>70.475</v>
      </c>
      <c r="V4" s="114">
        <v>70.475</v>
      </c>
      <c r="W4" s="114">
        <v>71.429</v>
      </c>
      <c r="X4" s="114">
        <v>79.833</v>
      </c>
      <c r="Y4" s="114">
        <v>84.388</v>
      </c>
      <c r="Z4" s="114">
        <v>87.201</v>
      </c>
      <c r="AA4" s="114">
        <v>91.72</v>
      </c>
      <c r="AB4" s="114">
        <v>88.051</v>
      </c>
      <c r="AC4" s="114">
        <v>76.814</v>
      </c>
      <c r="AD4" s="114">
        <v>70.098</v>
      </c>
      <c r="AE4" s="114">
        <v>419.2</v>
      </c>
      <c r="AF4" s="114">
        <v>422</v>
      </c>
      <c r="AG4" s="114">
        <v>583.1</v>
      </c>
      <c r="AH4" s="114">
        <v>1419</v>
      </c>
      <c r="AI4" s="114">
        <v>1498</v>
      </c>
      <c r="AJ4" s="114">
        <v>1810</v>
      </c>
      <c r="AK4" s="114">
        <v>2342.5</v>
      </c>
      <c r="AL4" s="114">
        <v>3000</v>
      </c>
      <c r="AM4" s="94"/>
      <c r="AN4" s="94"/>
      <c r="AO4" s="94"/>
      <c r="AP4" s="94"/>
      <c r="AQ4" s="94"/>
      <c r="AR4" s="94"/>
      <c r="AS4" s="94"/>
    </row>
    <row r="5" spans="1:45" s="87" customFormat="1" ht="12" customHeight="1">
      <c r="A5" s="113" t="s">
        <v>3</v>
      </c>
      <c r="B5" s="114">
        <v>75.75</v>
      </c>
      <c r="C5" s="114">
        <v>75.75</v>
      </c>
      <c r="D5" s="114">
        <v>75.75</v>
      </c>
      <c r="E5" s="114">
        <v>75.75</v>
      </c>
      <c r="F5" s="114">
        <v>75.75</v>
      </c>
      <c r="G5" s="114">
        <v>75.75</v>
      </c>
      <c r="H5" s="114">
        <v>75.75</v>
      </c>
      <c r="I5" s="114">
        <v>75.75</v>
      </c>
      <c r="J5" s="114">
        <v>75.75</v>
      </c>
      <c r="K5" s="114">
        <v>75.75</v>
      </c>
      <c r="L5" s="114">
        <v>75.75</v>
      </c>
      <c r="M5" s="114">
        <v>75.75</v>
      </c>
      <c r="N5" s="114">
        <v>75.75</v>
      </c>
      <c r="O5" s="114">
        <v>68.882</v>
      </c>
      <c r="P5" s="114">
        <v>67.988</v>
      </c>
      <c r="Q5" s="114">
        <v>67.543</v>
      </c>
      <c r="R5" s="114">
        <v>68.163</v>
      </c>
      <c r="S5" s="114">
        <v>70.514</v>
      </c>
      <c r="T5" s="114">
        <v>70.583</v>
      </c>
      <c r="U5" s="114">
        <v>70.475</v>
      </c>
      <c r="V5" s="114">
        <v>91</v>
      </c>
      <c r="W5" s="114">
        <v>107.6</v>
      </c>
      <c r="X5" s="114">
        <v>128.9</v>
      </c>
      <c r="Y5" s="114">
        <v>152</v>
      </c>
      <c r="Z5" s="114">
        <v>172.2</v>
      </c>
      <c r="AA5" s="114">
        <v>192.1</v>
      </c>
      <c r="AB5" s="114">
        <v>207.3</v>
      </c>
      <c r="AC5" s="114">
        <v>217.3</v>
      </c>
      <c r="AD5" s="114">
        <v>221.5</v>
      </c>
      <c r="AE5" s="114">
        <v>237.1</v>
      </c>
      <c r="AF5" s="114">
        <v>299.1</v>
      </c>
      <c r="AG5" s="114">
        <v>394.3</v>
      </c>
      <c r="AH5" s="114">
        <v>511.7</v>
      </c>
      <c r="AI5" s="114">
        <v>682.2</v>
      </c>
      <c r="AJ5" s="114">
        <v>1267.7</v>
      </c>
      <c r="AK5" s="114">
        <v>2079</v>
      </c>
      <c r="AL5" s="114">
        <v>2463.1598</v>
      </c>
      <c r="AM5" s="94" t="s">
        <v>4</v>
      </c>
      <c r="AN5" s="94" t="s">
        <v>4</v>
      </c>
      <c r="AO5" s="94" t="s">
        <v>4</v>
      </c>
      <c r="AP5" s="94" t="s">
        <v>4</v>
      </c>
      <c r="AQ5" s="94" t="s">
        <v>4</v>
      </c>
      <c r="AR5" s="94" t="s">
        <v>4</v>
      </c>
      <c r="AS5" s="94" t="s">
        <v>4</v>
      </c>
    </row>
    <row r="6" spans="1:45" s="87" customFormat="1" ht="12" customHeight="1">
      <c r="A6" s="113" t="s">
        <v>5</v>
      </c>
      <c r="B6" s="114">
        <v>75.75</v>
      </c>
      <c r="C6" s="114">
        <v>75.75</v>
      </c>
      <c r="D6" s="114">
        <v>75.75</v>
      </c>
      <c r="E6" s="114">
        <v>75.75</v>
      </c>
      <c r="F6" s="114">
        <v>75.75</v>
      </c>
      <c r="G6" s="114">
        <v>75.75</v>
      </c>
      <c r="H6" s="114">
        <v>80.62</v>
      </c>
      <c r="I6" s="114">
        <v>77.991</v>
      </c>
      <c r="J6" s="114">
        <v>76.158</v>
      </c>
      <c r="K6" s="114">
        <v>76.72</v>
      </c>
      <c r="L6" s="114">
        <v>78.47</v>
      </c>
      <c r="M6" s="114">
        <v>79.138</v>
      </c>
      <c r="N6" s="114">
        <v>78.695</v>
      </c>
      <c r="O6" s="114">
        <v>76.47</v>
      </c>
      <c r="P6" s="114">
        <v>69.883</v>
      </c>
      <c r="Q6" s="114">
        <v>67.9</v>
      </c>
      <c r="R6" s="114">
        <v>86.664</v>
      </c>
      <c r="S6" s="114">
        <v>73.379</v>
      </c>
      <c r="T6" s="114">
        <v>73.716</v>
      </c>
      <c r="U6" s="114">
        <v>84.595</v>
      </c>
      <c r="V6" s="114">
        <v>127</v>
      </c>
      <c r="W6" s="114">
        <v>138</v>
      </c>
      <c r="X6" s="114">
        <v>150</v>
      </c>
      <c r="Y6" s="114">
        <v>250</v>
      </c>
      <c r="Z6" s="114">
        <v>350</v>
      </c>
      <c r="AA6" s="114">
        <v>550</v>
      </c>
      <c r="AB6" s="114">
        <v>613</v>
      </c>
      <c r="AC6" s="114">
        <v>741</v>
      </c>
      <c r="AD6" s="114">
        <v>990</v>
      </c>
      <c r="AE6" s="114">
        <v>1018.75</v>
      </c>
      <c r="AF6" s="114">
        <v>1211.583</v>
      </c>
      <c r="AG6" s="114">
        <v>1411.393</v>
      </c>
      <c r="AH6" s="114">
        <v>1419.067</v>
      </c>
      <c r="AI6" s="114">
        <v>1496.093</v>
      </c>
      <c r="AJ6" s="114">
        <v>1810</v>
      </c>
      <c r="AK6" s="114">
        <v>2808</v>
      </c>
      <c r="AL6" s="114">
        <v>4056.0833333333335</v>
      </c>
      <c r="AM6" s="94"/>
      <c r="AN6" s="94"/>
      <c r="AO6" s="94"/>
      <c r="AP6" s="94"/>
      <c r="AQ6" s="94"/>
      <c r="AR6" s="94"/>
      <c r="AS6" s="94"/>
    </row>
    <row r="7" spans="1:45" s="87" customFormat="1" ht="8.25" customHeight="1">
      <c r="A7" s="113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94"/>
      <c r="AN7" s="94"/>
      <c r="AO7" s="94"/>
      <c r="AP7" s="94"/>
      <c r="AQ7" s="94"/>
      <c r="AR7" s="94"/>
      <c r="AS7" s="94"/>
    </row>
    <row r="8" spans="1:45" s="117" customFormat="1" ht="15.75">
      <c r="A8" s="115" t="s">
        <v>283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</row>
    <row r="9" spans="1:45" s="117" customFormat="1" ht="15.75">
      <c r="A9" s="118" t="s">
        <v>6</v>
      </c>
      <c r="B9" s="119">
        <v>4.1</v>
      </c>
      <c r="C9" s="119">
        <v>4</v>
      </c>
      <c r="D9" s="119">
        <v>3.8</v>
      </c>
      <c r="E9" s="119">
        <v>3.6</v>
      </c>
      <c r="F9" s="119">
        <v>3.4</v>
      </c>
      <c r="G9" s="119">
        <v>3.5</v>
      </c>
      <c r="H9" s="119">
        <v>5.4</v>
      </c>
      <c r="I9" s="119">
        <v>5.5</v>
      </c>
      <c r="J9" s="119">
        <v>6.8</v>
      </c>
      <c r="K9" s="119">
        <v>9.6</v>
      </c>
      <c r="L9" s="119">
        <v>11.5</v>
      </c>
      <c r="M9" s="119">
        <v>9.7</v>
      </c>
      <c r="N9" s="119">
        <v>13</v>
      </c>
      <c r="O9" s="119">
        <v>29.2</v>
      </c>
      <c r="P9" s="119">
        <v>34.81088</v>
      </c>
      <c r="Q9" s="119">
        <v>89.66628</v>
      </c>
      <c r="R9" s="119">
        <v>131.97282</v>
      </c>
      <c r="S9" s="119">
        <v>181.866399</v>
      </c>
      <c r="T9" s="119">
        <v>257.743648</v>
      </c>
      <c r="U9" s="119">
        <v>247.73533000000003</v>
      </c>
      <c r="V9" s="119">
        <v>193.53342</v>
      </c>
      <c r="W9" s="119">
        <v>119.375499</v>
      </c>
      <c r="X9" s="119">
        <v>112.14973799999999</v>
      </c>
      <c r="Y9" s="119">
        <v>89.56089</v>
      </c>
      <c r="Z9" s="119">
        <v>108.67585</v>
      </c>
      <c r="AA9" s="119">
        <v>91.047382</v>
      </c>
      <c r="AB9" s="119">
        <v>60.914950000000005</v>
      </c>
      <c r="AC9" s="119">
        <v>42.692099999999996</v>
      </c>
      <c r="AD9" s="119">
        <v>26.256899999999998</v>
      </c>
      <c r="AE9" s="119">
        <v>62.73823</v>
      </c>
      <c r="AF9" s="119">
        <v>128.45485</v>
      </c>
      <c r="AG9" s="119">
        <v>182.89214</v>
      </c>
      <c r="AH9" s="119">
        <v>492.02979999999997</v>
      </c>
      <c r="AI9" s="119">
        <v>577.59681</v>
      </c>
      <c r="AJ9" s="119">
        <v>1885.00205</v>
      </c>
      <c r="AK9" s="119">
        <v>1146.309</v>
      </c>
      <c r="AL9" s="119">
        <v>1755.8217</v>
      </c>
      <c r="AM9" s="119">
        <v>2034.2314999999999</v>
      </c>
      <c r="AN9" s="119">
        <v>3406.6976000000004</v>
      </c>
      <c r="AO9" s="119">
        <v>3341.5111999999995</v>
      </c>
      <c r="AP9" s="119">
        <v>1368.6003999999998</v>
      </c>
      <c r="AQ9" s="119">
        <v>3461.1578</v>
      </c>
      <c r="AR9" s="119">
        <f>'[1]Current'!AR2333</f>
        <v>0</v>
      </c>
      <c r="AS9" s="116"/>
    </row>
    <row r="10" spans="1:45" s="117" customFormat="1" ht="15.75">
      <c r="A10" s="120" t="s">
        <v>7</v>
      </c>
      <c r="B10" s="121">
        <v>0.1</v>
      </c>
      <c r="C10" s="121">
        <v>0.1</v>
      </c>
      <c r="D10" s="121">
        <v>0.1</v>
      </c>
      <c r="E10" s="121">
        <v>0.2</v>
      </c>
      <c r="F10" s="121">
        <v>0.2</v>
      </c>
      <c r="G10" s="121">
        <v>0.2</v>
      </c>
      <c r="H10" s="121">
        <v>0.6</v>
      </c>
      <c r="I10" s="121">
        <v>0.5</v>
      </c>
      <c r="J10" s="121">
        <v>0.4</v>
      </c>
      <c r="K10" s="121">
        <v>0.6</v>
      </c>
      <c r="L10" s="121">
        <v>0.9</v>
      </c>
      <c r="M10" s="121">
        <v>0.6</v>
      </c>
      <c r="N10" s="121">
        <v>0.9</v>
      </c>
      <c r="O10" s="121">
        <v>2.4</v>
      </c>
      <c r="P10" s="121">
        <v>4.28337</v>
      </c>
      <c r="Q10" s="121">
        <v>34.24278</v>
      </c>
      <c r="R10" s="121">
        <v>52.21056</v>
      </c>
      <c r="S10" s="121">
        <v>43.011100000000006</v>
      </c>
      <c r="T10" s="121">
        <v>54.276019999999995</v>
      </c>
      <c r="U10" s="121">
        <v>77.528</v>
      </c>
      <c r="V10" s="121">
        <v>87.39520000000002</v>
      </c>
      <c r="W10" s="121">
        <v>71.71572</v>
      </c>
      <c r="X10" s="121">
        <v>71.44784999999999</v>
      </c>
      <c r="Y10" s="121">
        <v>51.64668</v>
      </c>
      <c r="Z10" s="121">
        <v>69.324</v>
      </c>
      <c r="AA10" s="121">
        <v>54.434160000000006</v>
      </c>
      <c r="AB10" s="121">
        <v>34.60365</v>
      </c>
      <c r="AC10" s="121">
        <v>28.03565</v>
      </c>
      <c r="AD10" s="121">
        <v>14.440599999999998</v>
      </c>
      <c r="AE10" s="121">
        <v>15.43829</v>
      </c>
      <c r="AF10" s="121">
        <v>25.354560000000003</v>
      </c>
      <c r="AG10" s="121">
        <v>30.524639999999998</v>
      </c>
      <c r="AH10" s="121">
        <v>14.4414</v>
      </c>
      <c r="AI10" s="121">
        <v>18.864510000000003</v>
      </c>
      <c r="AJ10" s="121">
        <v>248.58979000000002</v>
      </c>
      <c r="AK10" s="121">
        <v>248.358</v>
      </c>
      <c r="AL10" s="121">
        <v>552.21</v>
      </c>
      <c r="AM10" s="121">
        <v>852.78</v>
      </c>
      <c r="AN10" s="121">
        <v>816.2922000000001</v>
      </c>
      <c r="AO10" s="121">
        <v>403.075</v>
      </c>
      <c r="AP10" s="121">
        <v>317.2025</v>
      </c>
      <c r="AQ10" s="121">
        <v>376.7875</v>
      </c>
      <c r="AR10" s="121">
        <f>'[1]Current'!AR2334</f>
        <v>0</v>
      </c>
      <c r="AS10" s="116"/>
    </row>
    <row r="11" spans="1:45" s="117" customFormat="1" ht="15.75">
      <c r="A11" s="120" t="s">
        <v>8</v>
      </c>
      <c r="B11" s="121">
        <v>4</v>
      </c>
      <c r="C11" s="121">
        <v>3.9</v>
      </c>
      <c r="D11" s="121">
        <v>3.7</v>
      </c>
      <c r="E11" s="121">
        <v>3.4</v>
      </c>
      <c r="F11" s="121">
        <v>3.2</v>
      </c>
      <c r="G11" s="121">
        <v>3.3</v>
      </c>
      <c r="H11" s="121">
        <v>4.8</v>
      </c>
      <c r="I11" s="121">
        <v>5</v>
      </c>
      <c r="J11" s="121">
        <v>6.4</v>
      </c>
      <c r="K11" s="121">
        <v>9</v>
      </c>
      <c r="L11" s="121">
        <v>10.6</v>
      </c>
      <c r="M11" s="121">
        <v>9.1</v>
      </c>
      <c r="N11" s="121">
        <v>12.1</v>
      </c>
      <c r="O11" s="121">
        <v>26.8</v>
      </c>
      <c r="P11" s="121">
        <v>30.527509999999996</v>
      </c>
      <c r="Q11" s="121">
        <v>55.423500000000004</v>
      </c>
      <c r="R11" s="121">
        <v>79.76226</v>
      </c>
      <c r="S11" s="121">
        <v>138.855299</v>
      </c>
      <c r="T11" s="121">
        <v>203.467628</v>
      </c>
      <c r="U11" s="121">
        <v>170.20733</v>
      </c>
      <c r="V11" s="121">
        <v>106.13821999999999</v>
      </c>
      <c r="W11" s="121">
        <v>47.659779</v>
      </c>
      <c r="X11" s="121">
        <v>40.701888</v>
      </c>
      <c r="Y11" s="121">
        <v>37.91421</v>
      </c>
      <c r="Z11" s="121">
        <v>39.35185</v>
      </c>
      <c r="AA11" s="121">
        <v>36.61322199999999</v>
      </c>
      <c r="AB11" s="121">
        <v>26.3113</v>
      </c>
      <c r="AC11" s="121">
        <v>14.65645</v>
      </c>
      <c r="AD11" s="121">
        <v>11.8163</v>
      </c>
      <c r="AE11" s="121">
        <v>47.29994</v>
      </c>
      <c r="AF11" s="121">
        <v>103.10029</v>
      </c>
      <c r="AG11" s="121">
        <v>152.3675</v>
      </c>
      <c r="AH11" s="121">
        <v>477.5884</v>
      </c>
      <c r="AI11" s="121">
        <v>558.7323</v>
      </c>
      <c r="AJ11" s="121">
        <v>1636.41226</v>
      </c>
      <c r="AK11" s="121">
        <v>897.951</v>
      </c>
      <c r="AL11" s="121">
        <v>1203.6117</v>
      </c>
      <c r="AM11" s="121">
        <v>1181.4515</v>
      </c>
      <c r="AN11" s="121">
        <v>2590.4054</v>
      </c>
      <c r="AO11" s="121">
        <v>2938.4361999999996</v>
      </c>
      <c r="AP11" s="121">
        <v>1051.3979</v>
      </c>
      <c r="AQ11" s="121">
        <v>3084.3703</v>
      </c>
      <c r="AR11" s="121">
        <f>'[1]Current'!AR2335</f>
        <v>0</v>
      </c>
      <c r="AS11" s="116"/>
    </row>
    <row r="12" spans="1:45" s="117" customFormat="1" ht="15.75">
      <c r="A12" s="122" t="s">
        <v>9</v>
      </c>
      <c r="B12" s="123">
        <v>2.5</v>
      </c>
      <c r="C12" s="123">
        <v>1.6</v>
      </c>
      <c r="D12" s="123">
        <v>1.5</v>
      </c>
      <c r="E12" s="123">
        <v>1.5</v>
      </c>
      <c r="F12" s="123">
        <v>1.5</v>
      </c>
      <c r="G12" s="123">
        <v>1.9</v>
      </c>
      <c r="H12" s="123">
        <v>2.8</v>
      </c>
      <c r="I12" s="123">
        <v>3.5</v>
      </c>
      <c r="J12" s="123">
        <v>3.9</v>
      </c>
      <c r="K12" s="123">
        <v>5.7</v>
      </c>
      <c r="L12" s="123">
        <v>7.2</v>
      </c>
      <c r="M12" s="123">
        <v>6.5</v>
      </c>
      <c r="N12" s="123">
        <v>7.6</v>
      </c>
      <c r="O12" s="123">
        <v>20.1</v>
      </c>
      <c r="P12" s="123">
        <v>6.6630199999999995</v>
      </c>
      <c r="Q12" s="123">
        <v>14.83196</v>
      </c>
      <c r="R12" s="123">
        <v>30.6189</v>
      </c>
      <c r="S12" s="123">
        <v>69.755499</v>
      </c>
      <c r="T12" s="123">
        <v>89.90440799999999</v>
      </c>
      <c r="U12" s="123">
        <v>153.57405</v>
      </c>
      <c r="V12" s="123">
        <v>40.662299999999995</v>
      </c>
      <c r="W12" s="123">
        <v>43.659699</v>
      </c>
      <c r="X12" s="123">
        <v>32.718888</v>
      </c>
      <c r="Y12" s="123">
        <v>22.72401</v>
      </c>
      <c r="Z12" s="123">
        <v>24.17905</v>
      </c>
      <c r="AA12" s="123">
        <v>26.807741999999998</v>
      </c>
      <c r="AB12" s="123">
        <v>20.5</v>
      </c>
      <c r="AC12" s="123">
        <v>11.2</v>
      </c>
      <c r="AD12" s="123">
        <v>7.4</v>
      </c>
      <c r="AE12" s="123">
        <v>41.9</v>
      </c>
      <c r="AF12" s="123">
        <v>92.8</v>
      </c>
      <c r="AG12" s="123">
        <v>144</v>
      </c>
      <c r="AH12" s="123">
        <v>462.808</v>
      </c>
      <c r="AI12" s="123">
        <v>551.502</v>
      </c>
      <c r="AJ12" s="123">
        <v>1526.11083</v>
      </c>
      <c r="AK12" s="123">
        <v>822.744</v>
      </c>
      <c r="AL12" s="123">
        <v>1142.4492</v>
      </c>
      <c r="AM12" s="123">
        <v>1092.329</v>
      </c>
      <c r="AN12" s="123">
        <v>2450.2694</v>
      </c>
      <c r="AO12" s="123">
        <v>2174.3461999999995</v>
      </c>
      <c r="AP12" s="123">
        <v>632.5504</v>
      </c>
      <c r="AQ12" s="123">
        <v>2439.4503</v>
      </c>
      <c r="AR12" s="123">
        <f>'[1]Current'!AR2336</f>
        <v>0</v>
      </c>
      <c r="AS12" s="116"/>
    </row>
    <row r="13" spans="1:45" s="117" customFormat="1" ht="15.75">
      <c r="A13" s="122" t="s">
        <v>10</v>
      </c>
      <c r="B13" s="123">
        <v>1.5</v>
      </c>
      <c r="C13" s="123">
        <v>2.3</v>
      </c>
      <c r="D13" s="123">
        <v>2.2</v>
      </c>
      <c r="E13" s="123">
        <v>1.9</v>
      </c>
      <c r="F13" s="123">
        <v>1.7</v>
      </c>
      <c r="G13" s="123">
        <v>1.4</v>
      </c>
      <c r="H13" s="123">
        <v>2</v>
      </c>
      <c r="I13" s="123">
        <v>1.5</v>
      </c>
      <c r="J13" s="123">
        <v>2.5</v>
      </c>
      <c r="K13" s="123">
        <v>3.3</v>
      </c>
      <c r="L13" s="123">
        <v>3.4</v>
      </c>
      <c r="M13" s="123">
        <v>2.6</v>
      </c>
      <c r="N13" s="123">
        <v>4.5</v>
      </c>
      <c r="O13" s="123">
        <v>6.7</v>
      </c>
      <c r="P13" s="123">
        <v>23.864489999999996</v>
      </c>
      <c r="Q13" s="123">
        <v>40.59154</v>
      </c>
      <c r="R13" s="123">
        <v>49.14336</v>
      </c>
      <c r="S13" s="123">
        <v>69.0998</v>
      </c>
      <c r="T13" s="123">
        <v>113.56322</v>
      </c>
      <c r="U13" s="123">
        <v>16.633280000000003</v>
      </c>
      <c r="V13" s="123">
        <v>65.47592</v>
      </c>
      <c r="W13" s="123">
        <v>4.0000800000000005</v>
      </c>
      <c r="X13" s="123">
        <v>7.983</v>
      </c>
      <c r="Y13" s="123">
        <v>15.1902</v>
      </c>
      <c r="Z13" s="123">
        <v>15.1728</v>
      </c>
      <c r="AA13" s="123">
        <v>9.80548</v>
      </c>
      <c r="AB13" s="123">
        <v>5.8113</v>
      </c>
      <c r="AC13" s="123">
        <v>3.4564500000000002</v>
      </c>
      <c r="AD13" s="123">
        <v>4.4163</v>
      </c>
      <c r="AE13" s="123">
        <v>5.399940000000001</v>
      </c>
      <c r="AF13" s="123">
        <v>10.30029</v>
      </c>
      <c r="AG13" s="123">
        <v>8.3675</v>
      </c>
      <c r="AH13" s="123">
        <v>14.7804</v>
      </c>
      <c r="AI13" s="123">
        <v>7.230300000000001</v>
      </c>
      <c r="AJ13" s="123">
        <v>110.30143</v>
      </c>
      <c r="AK13" s="123">
        <v>75.207</v>
      </c>
      <c r="AL13" s="123">
        <v>61.1625</v>
      </c>
      <c r="AM13" s="123">
        <v>89.1225</v>
      </c>
      <c r="AN13" s="123">
        <v>140.136</v>
      </c>
      <c r="AO13" s="123">
        <v>764.09</v>
      </c>
      <c r="AP13" s="123">
        <v>418.8475</v>
      </c>
      <c r="AQ13" s="123">
        <v>644.92</v>
      </c>
      <c r="AR13" s="123">
        <f>'[1]Current'!AR2337</f>
        <v>0</v>
      </c>
      <c r="AS13" s="116"/>
    </row>
    <row r="14" spans="1:45" s="117" customFormat="1" ht="15.75">
      <c r="A14" s="118" t="s">
        <v>11</v>
      </c>
      <c r="B14" s="119">
        <v>9.8</v>
      </c>
      <c r="C14" s="119">
        <v>11.9</v>
      </c>
      <c r="D14" s="119">
        <v>12.4</v>
      </c>
      <c r="E14" s="119">
        <v>14.2</v>
      </c>
      <c r="F14" s="119">
        <v>15.8</v>
      </c>
      <c r="G14" s="119">
        <v>17.7</v>
      </c>
      <c r="H14" s="119">
        <v>25.3</v>
      </c>
      <c r="I14" s="119">
        <v>23.5</v>
      </c>
      <c r="J14" s="119">
        <v>27.3</v>
      </c>
      <c r="K14" s="119">
        <v>38.6</v>
      </c>
      <c r="L14" s="119">
        <v>45.4</v>
      </c>
      <c r="M14" s="119">
        <v>49.6</v>
      </c>
      <c r="N14" s="119">
        <v>59.1</v>
      </c>
      <c r="O14" s="119">
        <v>58.6</v>
      </c>
      <c r="P14" s="119">
        <v>71.04955</v>
      </c>
      <c r="Q14" s="119">
        <v>101.0748604</v>
      </c>
      <c r="R14" s="119">
        <v>147.3729804</v>
      </c>
      <c r="S14" s="119">
        <v>196.975634</v>
      </c>
      <c r="T14" s="119">
        <v>309.462936</v>
      </c>
      <c r="U14" s="119">
        <v>433.04812</v>
      </c>
      <c r="V14" s="119">
        <v>138.1936</v>
      </c>
      <c r="W14" s="119">
        <v>93.44827500000001</v>
      </c>
      <c r="X14" s="119">
        <v>78.88982399999999</v>
      </c>
      <c r="Y14" s="119">
        <v>89.215617</v>
      </c>
      <c r="Z14" s="119">
        <v>114.858971</v>
      </c>
      <c r="AA14" s="119">
        <v>101.831865</v>
      </c>
      <c r="AB14" s="119">
        <v>104.58824999999999</v>
      </c>
      <c r="AC14" s="119">
        <v>73.38079</v>
      </c>
      <c r="AD14" s="119">
        <v>72.6116</v>
      </c>
      <c r="AE14" s="119">
        <v>90.21295</v>
      </c>
      <c r="AF14" s="119">
        <v>132.56637</v>
      </c>
      <c r="AG14" s="119">
        <v>217.39063999999996</v>
      </c>
      <c r="AH14" s="119">
        <v>393.44059999999996</v>
      </c>
      <c r="AI14" s="119">
        <v>431.36627000000004</v>
      </c>
      <c r="AJ14" s="119">
        <v>3274.9050499999994</v>
      </c>
      <c r="AK14" s="119">
        <v>3412.9592</v>
      </c>
      <c r="AL14" s="119">
        <v>3101.4347</v>
      </c>
      <c r="AM14" s="119">
        <v>3683.261</v>
      </c>
      <c r="AN14" s="119">
        <v>3897.7133999999996</v>
      </c>
      <c r="AO14" s="119">
        <v>2961.69</v>
      </c>
      <c r="AP14" s="119">
        <v>1900.6025</v>
      </c>
      <c r="AQ14" s="119">
        <v>3183.61</v>
      </c>
      <c r="AR14" s="119">
        <f>'[1]Current'!AR2338</f>
        <v>0</v>
      </c>
      <c r="AS14" s="116"/>
    </row>
    <row r="15" spans="1:45" s="117" customFormat="1" ht="15.75">
      <c r="A15" s="124" t="s">
        <v>7</v>
      </c>
      <c r="B15" s="121">
        <v>5.9</v>
      </c>
      <c r="C15" s="121">
        <v>6.9</v>
      </c>
      <c r="D15" s="121">
        <v>7.6</v>
      </c>
      <c r="E15" s="121">
        <v>8.7</v>
      </c>
      <c r="F15" s="121">
        <v>9.7</v>
      </c>
      <c r="G15" s="121">
        <v>11.1</v>
      </c>
      <c r="H15" s="121">
        <v>12.3</v>
      </c>
      <c r="I15" s="121">
        <v>13.9</v>
      </c>
      <c r="J15" s="121">
        <v>16.6</v>
      </c>
      <c r="K15" s="121">
        <v>20.7</v>
      </c>
      <c r="L15" s="121">
        <v>26</v>
      </c>
      <c r="M15" s="121">
        <v>30.7</v>
      </c>
      <c r="N15" s="121">
        <v>35.5</v>
      </c>
      <c r="O15" s="121">
        <v>42.4</v>
      </c>
      <c r="P15" s="121">
        <v>45.621289999999995</v>
      </c>
      <c r="Q15" s="121">
        <v>51.803180000000005</v>
      </c>
      <c r="R15" s="121">
        <v>45.80352</v>
      </c>
      <c r="S15" s="121">
        <v>47.2417</v>
      </c>
      <c r="T15" s="121">
        <v>48.276720000000005</v>
      </c>
      <c r="U15" s="121">
        <v>54.9744</v>
      </c>
      <c r="V15" s="121">
        <v>56.172560000000004</v>
      </c>
      <c r="W15" s="121">
        <v>28.429140000000004</v>
      </c>
      <c r="X15" s="121">
        <v>21.95325</v>
      </c>
      <c r="Y15" s="121">
        <v>19.15653</v>
      </c>
      <c r="Z15" s="121">
        <v>16.044800000000002</v>
      </c>
      <c r="AA15" s="121">
        <v>13.10452</v>
      </c>
      <c r="AB15" s="121">
        <v>8.805</v>
      </c>
      <c r="AC15" s="121">
        <v>5.06946</v>
      </c>
      <c r="AD15" s="121">
        <v>4.6266</v>
      </c>
      <c r="AE15" s="121">
        <v>5.6768600000000005</v>
      </c>
      <c r="AF15" s="121">
        <v>7.49112</v>
      </c>
      <c r="AG15" s="121">
        <v>5.2213199999999995</v>
      </c>
      <c r="AH15" s="121">
        <v>5.763</v>
      </c>
      <c r="AI15" s="121">
        <v>10.31961</v>
      </c>
      <c r="AJ15" s="121">
        <v>235.41947</v>
      </c>
      <c r="AK15" s="121">
        <v>722.337</v>
      </c>
      <c r="AL15" s="121">
        <v>1387.515</v>
      </c>
      <c r="AM15" s="121">
        <v>1569.255</v>
      </c>
      <c r="AN15" s="121">
        <v>1269.9825</v>
      </c>
      <c r="AO15" s="121">
        <v>1281.0775</v>
      </c>
      <c r="AP15" s="121">
        <v>828.9325</v>
      </c>
      <c r="AQ15" s="121">
        <v>648.425</v>
      </c>
      <c r="AR15" s="121">
        <f>'[1]Current'!AR2339</f>
        <v>0</v>
      </c>
      <c r="AS15" s="116"/>
    </row>
    <row r="16" spans="1:45" s="117" customFormat="1" ht="15.75">
      <c r="A16" s="124" t="s">
        <v>8</v>
      </c>
      <c r="B16" s="121">
        <v>3.9</v>
      </c>
      <c r="C16" s="121">
        <v>5</v>
      </c>
      <c r="D16" s="121">
        <v>4.8</v>
      </c>
      <c r="E16" s="121">
        <v>5.5</v>
      </c>
      <c r="F16" s="121">
        <v>6.1</v>
      </c>
      <c r="G16" s="121">
        <v>6.6</v>
      </c>
      <c r="H16" s="121">
        <v>13</v>
      </c>
      <c r="I16" s="121">
        <v>9.6</v>
      </c>
      <c r="J16" s="121">
        <v>10.7</v>
      </c>
      <c r="K16" s="121">
        <v>17.9</v>
      </c>
      <c r="L16" s="121">
        <v>19.4</v>
      </c>
      <c r="M16" s="121">
        <v>18.9</v>
      </c>
      <c r="N16" s="121">
        <v>23.6</v>
      </c>
      <c r="O16" s="121">
        <v>16.2</v>
      </c>
      <c r="P16" s="121">
        <v>25.428259999999998</v>
      </c>
      <c r="Q16" s="121">
        <v>49.27168040000001</v>
      </c>
      <c r="R16" s="121">
        <v>101.5694604</v>
      </c>
      <c r="S16" s="121">
        <v>149.733934</v>
      </c>
      <c r="T16" s="121">
        <v>261.186216</v>
      </c>
      <c r="U16" s="121">
        <v>378.07372</v>
      </c>
      <c r="V16" s="121">
        <v>82.02104</v>
      </c>
      <c r="W16" s="121">
        <v>65.019135</v>
      </c>
      <c r="X16" s="121">
        <v>56.93657399999999</v>
      </c>
      <c r="Y16" s="121">
        <v>70.05908699999999</v>
      </c>
      <c r="Z16" s="121">
        <v>98.814171</v>
      </c>
      <c r="AA16" s="121">
        <v>88.72734499999999</v>
      </c>
      <c r="AB16" s="121">
        <v>95.78325</v>
      </c>
      <c r="AC16" s="121">
        <v>68.31133</v>
      </c>
      <c r="AD16" s="121">
        <v>67.985</v>
      </c>
      <c r="AE16" s="121">
        <v>84.53609</v>
      </c>
      <c r="AF16" s="121">
        <v>125.07525000000001</v>
      </c>
      <c r="AG16" s="121">
        <v>212.16931999999997</v>
      </c>
      <c r="AH16" s="121">
        <v>387.6776</v>
      </c>
      <c r="AI16" s="121">
        <v>421.04666000000003</v>
      </c>
      <c r="AJ16" s="121">
        <v>3039.4855799999996</v>
      </c>
      <c r="AK16" s="121">
        <v>2690.6222</v>
      </c>
      <c r="AL16" s="121">
        <v>1713.9197</v>
      </c>
      <c r="AM16" s="121">
        <v>2114.006</v>
      </c>
      <c r="AN16" s="121">
        <v>2627.7308999999996</v>
      </c>
      <c r="AO16" s="121">
        <v>1680.6125</v>
      </c>
      <c r="AP16" s="121">
        <v>1071.67</v>
      </c>
      <c r="AQ16" s="121">
        <v>2535.185</v>
      </c>
      <c r="AR16" s="121">
        <f>'[1]Current'!AR2340</f>
        <v>0</v>
      </c>
      <c r="AS16" s="116"/>
    </row>
    <row r="17" spans="1:45" s="117" customFormat="1" ht="15.75">
      <c r="A17" s="122" t="s">
        <v>9</v>
      </c>
      <c r="B17" s="123">
        <v>2.7</v>
      </c>
      <c r="C17" s="123">
        <v>1.7</v>
      </c>
      <c r="D17" s="123">
        <v>1.7</v>
      </c>
      <c r="E17" s="123">
        <v>2.9</v>
      </c>
      <c r="F17" s="123">
        <v>3.1</v>
      </c>
      <c r="G17" s="123">
        <v>3.2</v>
      </c>
      <c r="H17" s="123">
        <v>7</v>
      </c>
      <c r="I17" s="123">
        <v>6.1</v>
      </c>
      <c r="J17" s="123">
        <v>4.9</v>
      </c>
      <c r="K17" s="123">
        <v>8.6</v>
      </c>
      <c r="L17" s="123">
        <v>11.9</v>
      </c>
      <c r="M17" s="123">
        <v>12</v>
      </c>
      <c r="N17" s="123">
        <v>13.3</v>
      </c>
      <c r="O17" s="123">
        <v>6.5</v>
      </c>
      <c r="P17" s="123">
        <v>4.35136</v>
      </c>
      <c r="Q17" s="123">
        <v>7.802120400000001</v>
      </c>
      <c r="R17" s="123">
        <v>16.3013004</v>
      </c>
      <c r="S17" s="123">
        <v>61.173373999999995</v>
      </c>
      <c r="T17" s="123">
        <v>100.193236</v>
      </c>
      <c r="U17" s="123">
        <v>218.50699999999998</v>
      </c>
      <c r="V17" s="123">
        <v>31.063999999999997</v>
      </c>
      <c r="W17" s="123">
        <v>6.232245000000001</v>
      </c>
      <c r="X17" s="123">
        <v>6.244524</v>
      </c>
      <c r="Y17" s="123">
        <v>5.838297</v>
      </c>
      <c r="Z17" s="123">
        <v>6.3821710000000005</v>
      </c>
      <c r="AA17" s="123">
        <v>5.976424999999999</v>
      </c>
      <c r="AB17" s="123">
        <v>18.035100000000003</v>
      </c>
      <c r="AC17" s="123">
        <v>18.9225</v>
      </c>
      <c r="AD17" s="123">
        <v>10.8535</v>
      </c>
      <c r="AE17" s="123">
        <v>12.329199999999998</v>
      </c>
      <c r="AF17" s="123">
        <v>22.4325</v>
      </c>
      <c r="AG17" s="123">
        <v>129.2976</v>
      </c>
      <c r="AH17" s="123">
        <v>281.435</v>
      </c>
      <c r="AI17" s="123">
        <v>319.0337</v>
      </c>
      <c r="AJ17" s="123">
        <v>1439.2917</v>
      </c>
      <c r="AK17" s="123">
        <v>1497.8042</v>
      </c>
      <c r="AL17" s="123">
        <v>446.98220000000003</v>
      </c>
      <c r="AM17" s="123">
        <v>590.186</v>
      </c>
      <c r="AN17" s="123">
        <v>355.776</v>
      </c>
      <c r="AO17" s="123">
        <v>248.82</v>
      </c>
      <c r="AP17" s="123">
        <v>104.29</v>
      </c>
      <c r="AQ17" s="123">
        <v>842.27</v>
      </c>
      <c r="AR17" s="123">
        <f>'[1]Current'!AR2341</f>
        <v>0</v>
      </c>
      <c r="AS17" s="116"/>
    </row>
    <row r="18" spans="1:45" s="117" customFormat="1" ht="15.75">
      <c r="A18" s="122" t="s">
        <v>10</v>
      </c>
      <c r="B18" s="123">
        <v>1.2</v>
      </c>
      <c r="C18" s="123">
        <v>3.3</v>
      </c>
      <c r="D18" s="123">
        <v>3.1</v>
      </c>
      <c r="E18" s="123">
        <v>2.6</v>
      </c>
      <c r="F18" s="123">
        <v>3</v>
      </c>
      <c r="G18" s="123">
        <v>3.4</v>
      </c>
      <c r="H18" s="123">
        <v>6</v>
      </c>
      <c r="I18" s="123">
        <v>3.5</v>
      </c>
      <c r="J18" s="123">
        <v>5.8</v>
      </c>
      <c r="K18" s="123">
        <v>9.3</v>
      </c>
      <c r="L18" s="123">
        <v>7.5</v>
      </c>
      <c r="M18" s="123">
        <v>6.9</v>
      </c>
      <c r="N18" s="123">
        <v>10.3</v>
      </c>
      <c r="O18" s="123">
        <v>9.7</v>
      </c>
      <c r="P18" s="123">
        <v>21.0769</v>
      </c>
      <c r="Q18" s="123">
        <v>41.46956000000001</v>
      </c>
      <c r="R18" s="123">
        <v>85.26816</v>
      </c>
      <c r="S18" s="123">
        <v>88.56056000000001</v>
      </c>
      <c r="T18" s="123">
        <v>160.99298000000002</v>
      </c>
      <c r="U18" s="123">
        <v>159.56672</v>
      </c>
      <c r="V18" s="123">
        <v>50.95704</v>
      </c>
      <c r="W18" s="123">
        <v>58.78689000000001</v>
      </c>
      <c r="X18" s="123">
        <v>50.692049999999995</v>
      </c>
      <c r="Y18" s="123">
        <v>64.22079</v>
      </c>
      <c r="Z18" s="123">
        <v>92.432</v>
      </c>
      <c r="AA18" s="123">
        <v>82.75092</v>
      </c>
      <c r="AB18" s="123">
        <v>77.74815</v>
      </c>
      <c r="AC18" s="123">
        <v>49.38883</v>
      </c>
      <c r="AD18" s="123">
        <v>57.131499999999996</v>
      </c>
      <c r="AE18" s="123">
        <v>72.20689</v>
      </c>
      <c r="AF18" s="123">
        <v>102.64275</v>
      </c>
      <c r="AG18" s="123">
        <v>82.87172</v>
      </c>
      <c r="AH18" s="123">
        <v>106.2426</v>
      </c>
      <c r="AI18" s="123">
        <v>102.01296</v>
      </c>
      <c r="AJ18" s="123">
        <v>1600.1938799999998</v>
      </c>
      <c r="AK18" s="123">
        <v>1192.818</v>
      </c>
      <c r="AL18" s="123">
        <v>1266.9375</v>
      </c>
      <c r="AM18" s="123">
        <v>1523.82</v>
      </c>
      <c r="AN18" s="123">
        <v>2271.9548999999997</v>
      </c>
      <c r="AO18" s="123">
        <v>1431.7925</v>
      </c>
      <c r="AP18" s="123">
        <v>967.38</v>
      </c>
      <c r="AQ18" s="123">
        <v>1692.915</v>
      </c>
      <c r="AR18" s="123">
        <f>'[1]Current'!AR2342</f>
        <v>0</v>
      </c>
      <c r="AS18" s="116"/>
    </row>
    <row r="19" spans="1:45" s="117" customFormat="1" ht="16.5" thickBot="1">
      <c r="A19" s="125" t="s">
        <v>12</v>
      </c>
      <c r="B19" s="126">
        <f>B9-B14</f>
        <v>-5.700000000000001</v>
      </c>
      <c r="C19" s="126">
        <f aca="true" t="shared" si="0" ref="C19:AR19">C9-C14</f>
        <v>-7.9</v>
      </c>
      <c r="D19" s="126">
        <f t="shared" si="0"/>
        <v>-8.600000000000001</v>
      </c>
      <c r="E19" s="126">
        <f t="shared" si="0"/>
        <v>-10.6</v>
      </c>
      <c r="F19" s="126">
        <f t="shared" si="0"/>
        <v>-12.4</v>
      </c>
      <c r="G19" s="126">
        <f t="shared" si="0"/>
        <v>-14.2</v>
      </c>
      <c r="H19" s="126">
        <f t="shared" si="0"/>
        <v>-19.9</v>
      </c>
      <c r="I19" s="126">
        <f t="shared" si="0"/>
        <v>-18</v>
      </c>
      <c r="J19" s="126">
        <f t="shared" si="0"/>
        <v>-20.5</v>
      </c>
      <c r="K19" s="126">
        <f t="shared" si="0"/>
        <v>-29</v>
      </c>
      <c r="L19" s="126">
        <f t="shared" si="0"/>
        <v>-33.9</v>
      </c>
      <c r="M19" s="126">
        <f t="shared" si="0"/>
        <v>-39.900000000000006</v>
      </c>
      <c r="N19" s="126">
        <f t="shared" si="0"/>
        <v>-46.1</v>
      </c>
      <c r="O19" s="126">
        <f t="shared" si="0"/>
        <v>-29.400000000000002</v>
      </c>
      <c r="P19" s="126">
        <f t="shared" si="0"/>
        <v>-36.23867</v>
      </c>
      <c r="Q19" s="126">
        <f t="shared" si="0"/>
        <v>-11.408580400000005</v>
      </c>
      <c r="R19" s="126">
        <f t="shared" si="0"/>
        <v>-15.400160399999976</v>
      </c>
      <c r="S19" s="126">
        <f t="shared" si="0"/>
        <v>-15.109235000000012</v>
      </c>
      <c r="T19" s="126">
        <f t="shared" si="0"/>
        <v>-51.719288000000006</v>
      </c>
      <c r="U19" s="126">
        <f t="shared" si="0"/>
        <v>-185.31278999999995</v>
      </c>
      <c r="V19" s="126">
        <f t="shared" si="0"/>
        <v>55.33982</v>
      </c>
      <c r="W19" s="126">
        <f t="shared" si="0"/>
        <v>25.927223999999995</v>
      </c>
      <c r="X19" s="126">
        <f t="shared" si="0"/>
        <v>33.259913999999995</v>
      </c>
      <c r="Y19" s="126">
        <f t="shared" si="0"/>
        <v>0.34527300000000594</v>
      </c>
      <c r="Z19" s="126">
        <f t="shared" si="0"/>
        <v>-6.183121</v>
      </c>
      <c r="AA19" s="126">
        <f t="shared" si="0"/>
        <v>-10.784482999999994</v>
      </c>
      <c r="AB19" s="126">
        <f t="shared" si="0"/>
        <v>-43.67329999999998</v>
      </c>
      <c r="AC19" s="126">
        <f t="shared" si="0"/>
        <v>-30.68869000000001</v>
      </c>
      <c r="AD19" s="126">
        <f t="shared" si="0"/>
        <v>-46.354699999999994</v>
      </c>
      <c r="AE19" s="126">
        <f t="shared" si="0"/>
        <v>-27.474720000000005</v>
      </c>
      <c r="AF19" s="126">
        <f t="shared" si="0"/>
        <v>-4.111520000000013</v>
      </c>
      <c r="AG19" s="126">
        <f t="shared" si="0"/>
        <v>-34.49849999999995</v>
      </c>
      <c r="AH19" s="126">
        <f t="shared" si="0"/>
        <v>98.5892</v>
      </c>
      <c r="AI19" s="126">
        <f t="shared" si="0"/>
        <v>146.23053999999996</v>
      </c>
      <c r="AJ19" s="126">
        <f t="shared" si="0"/>
        <v>-1389.9029999999993</v>
      </c>
      <c r="AK19" s="126">
        <f t="shared" si="0"/>
        <v>-2266.6502</v>
      </c>
      <c r="AL19" s="126">
        <f t="shared" si="0"/>
        <v>-1345.6129999999998</v>
      </c>
      <c r="AM19" s="126">
        <f t="shared" si="0"/>
        <v>-1649.0295</v>
      </c>
      <c r="AN19" s="126">
        <f t="shared" si="0"/>
        <v>-491.0157999999992</v>
      </c>
      <c r="AO19" s="126">
        <f t="shared" si="0"/>
        <v>379.8211999999994</v>
      </c>
      <c r="AP19" s="126">
        <f t="shared" si="0"/>
        <v>-532.0021000000002</v>
      </c>
      <c r="AQ19" s="126">
        <f t="shared" si="0"/>
        <v>277.5477999999998</v>
      </c>
      <c r="AR19" s="126">
        <f t="shared" si="0"/>
        <v>0</v>
      </c>
      <c r="AS19" s="116"/>
    </row>
    <row r="20" spans="1:45" s="117" customFormat="1" ht="17.25" thickBot="1" thickTop="1">
      <c r="A20" s="127"/>
      <c r="B20" s="128" t="s">
        <v>4</v>
      </c>
      <c r="C20" s="128" t="s">
        <v>4</v>
      </c>
      <c r="D20" s="128" t="s">
        <v>4</v>
      </c>
      <c r="E20" s="128" t="s">
        <v>4</v>
      </c>
      <c r="F20" s="128" t="s">
        <v>4</v>
      </c>
      <c r="G20" s="128" t="s">
        <v>4</v>
      </c>
      <c r="H20" s="128" t="s">
        <v>4</v>
      </c>
      <c r="I20" s="128" t="s">
        <v>4</v>
      </c>
      <c r="J20" s="128" t="s">
        <v>4</v>
      </c>
      <c r="K20" s="128" t="s">
        <v>4</v>
      </c>
      <c r="L20" s="128" t="s">
        <v>4</v>
      </c>
      <c r="M20" s="128" t="s">
        <v>4</v>
      </c>
      <c r="N20" s="128" t="s">
        <v>4</v>
      </c>
      <c r="O20" s="128" t="s">
        <v>4</v>
      </c>
      <c r="P20" s="128" t="s">
        <v>4</v>
      </c>
      <c r="Q20" s="128" t="s">
        <v>4</v>
      </c>
      <c r="R20" s="128" t="s">
        <v>4</v>
      </c>
      <c r="S20" s="128" t="s">
        <v>4</v>
      </c>
      <c r="T20" s="128" t="s">
        <v>4</v>
      </c>
      <c r="U20" s="128" t="s">
        <v>4</v>
      </c>
      <c r="V20" s="128" t="s">
        <v>4</v>
      </c>
      <c r="W20" s="128" t="s">
        <v>4</v>
      </c>
      <c r="X20" s="128" t="s">
        <v>4</v>
      </c>
      <c r="Y20" s="128" t="s">
        <v>4</v>
      </c>
      <c r="Z20" s="128" t="s">
        <v>4</v>
      </c>
      <c r="AA20" s="128" t="s">
        <v>4</v>
      </c>
      <c r="AB20" s="128" t="s">
        <v>4</v>
      </c>
      <c r="AC20" s="128" t="s">
        <v>4</v>
      </c>
      <c r="AD20" s="128" t="s">
        <v>4</v>
      </c>
      <c r="AE20" s="128" t="s">
        <v>4</v>
      </c>
      <c r="AF20" s="128" t="s">
        <v>4</v>
      </c>
      <c r="AG20" s="128" t="s">
        <v>4</v>
      </c>
      <c r="AH20" s="128" t="s">
        <v>4</v>
      </c>
      <c r="AI20" s="128" t="s">
        <v>4</v>
      </c>
      <c r="AJ20" s="128" t="s">
        <v>4</v>
      </c>
      <c r="AK20" s="128" t="s">
        <v>4</v>
      </c>
      <c r="AL20" s="128" t="s">
        <v>4</v>
      </c>
      <c r="AM20" s="128" t="s">
        <v>4</v>
      </c>
      <c r="AN20" s="128" t="s">
        <v>4</v>
      </c>
      <c r="AO20" s="128" t="s">
        <v>4</v>
      </c>
      <c r="AP20" s="128" t="s">
        <v>4</v>
      </c>
      <c r="AQ20" s="128" t="s">
        <v>4</v>
      </c>
      <c r="AR20" s="128" t="s">
        <v>4</v>
      </c>
      <c r="AS20" s="116"/>
    </row>
    <row r="21" spans="1:45" s="117" customFormat="1" ht="16.5" thickTop="1">
      <c r="A21" s="118" t="s">
        <v>13</v>
      </c>
      <c r="B21" s="119">
        <v>41.5</v>
      </c>
      <c r="C21" s="119">
        <v>44.1</v>
      </c>
      <c r="D21" s="119">
        <v>46.1</v>
      </c>
      <c r="E21" s="119">
        <v>51.6</v>
      </c>
      <c r="F21" s="119">
        <v>57.3</v>
      </c>
      <c r="G21" s="119">
        <v>66.9</v>
      </c>
      <c r="H21" s="119">
        <v>75.9</v>
      </c>
      <c r="I21" s="119">
        <v>83.9</v>
      </c>
      <c r="J21" s="119">
        <v>99.1</v>
      </c>
      <c r="K21" s="119">
        <v>114.3</v>
      </c>
      <c r="L21" s="119">
        <v>133.2</v>
      </c>
      <c r="M21" s="119">
        <v>153.7</v>
      </c>
      <c r="N21" s="119">
        <v>240.6</v>
      </c>
      <c r="O21" s="119">
        <v>298.5</v>
      </c>
      <c r="P21" s="119">
        <v>624.4881499999999</v>
      </c>
      <c r="Q21" s="119">
        <v>1481.910364</v>
      </c>
      <c r="R21" s="119">
        <v>1439.4115620000002</v>
      </c>
      <c r="S21" s="119">
        <v>1787.9001509999998</v>
      </c>
      <c r="T21" s="119">
        <v>1753.76337</v>
      </c>
      <c r="U21" s="119">
        <v>1291.72595</v>
      </c>
      <c r="V21" s="119">
        <v>1705.6412</v>
      </c>
      <c r="W21" s="119">
        <v>928.7443</v>
      </c>
      <c r="X21" s="119">
        <v>995.9440000000001</v>
      </c>
      <c r="Y21" s="119">
        <v>1819.8184</v>
      </c>
      <c r="Z21" s="119">
        <v>1984.5</v>
      </c>
      <c r="AA21" s="119">
        <v>1689.0835999999997</v>
      </c>
      <c r="AB21" s="119">
        <v>1405.861</v>
      </c>
      <c r="AC21" s="119">
        <v>597.9435</v>
      </c>
      <c r="AD21" s="119">
        <v>1780.259</v>
      </c>
      <c r="AE21" s="119">
        <v>1597.24149632</v>
      </c>
      <c r="AF21" s="119">
        <v>2616.1757263039995</v>
      </c>
      <c r="AG21" s="119">
        <v>5129.11037888</v>
      </c>
      <c r="AH21" s="119">
        <v>7448.689599212079</v>
      </c>
      <c r="AI21" s="119">
        <v>9645.241368707</v>
      </c>
      <c r="AJ21" s="119">
        <v>27419.631930000003</v>
      </c>
      <c r="AK21" s="119">
        <v>39631.9155561316</v>
      </c>
      <c r="AL21" s="119">
        <v>40362.2697844231</v>
      </c>
      <c r="AM21" s="119">
        <v>51746.07309999999</v>
      </c>
      <c r="AN21" s="119">
        <v>51006.60296738001</v>
      </c>
      <c r="AO21" s="119">
        <v>44856.755728000004</v>
      </c>
      <c r="AP21" s="119">
        <v>93508.62885479999</v>
      </c>
      <c r="AQ21" s="119">
        <v>131810.67143452</v>
      </c>
      <c r="AR21" s="119">
        <f>'[1]Current'!AR2345</f>
        <v>0</v>
      </c>
      <c r="AS21" s="116"/>
    </row>
    <row r="22" spans="1:45" s="117" customFormat="1" ht="15.75">
      <c r="A22" s="124" t="s">
        <v>14</v>
      </c>
      <c r="B22" s="121">
        <v>40.7</v>
      </c>
      <c r="C22" s="121">
        <v>43</v>
      </c>
      <c r="D22" s="121">
        <v>45.1</v>
      </c>
      <c r="E22" s="121">
        <v>50.6</v>
      </c>
      <c r="F22" s="121">
        <v>56.3</v>
      </c>
      <c r="G22" s="121">
        <v>65.3</v>
      </c>
      <c r="H22" s="121">
        <v>73.7</v>
      </c>
      <c r="I22" s="121">
        <v>80.8</v>
      </c>
      <c r="J22" s="121">
        <v>95.8</v>
      </c>
      <c r="K22" s="121">
        <v>110</v>
      </c>
      <c r="L22" s="121">
        <v>129.2</v>
      </c>
      <c r="M22" s="121">
        <v>149.4</v>
      </c>
      <c r="N22" s="121">
        <v>232.3</v>
      </c>
      <c r="O22" s="121">
        <v>290.8</v>
      </c>
      <c r="P22" s="121">
        <v>608.7144699999999</v>
      </c>
      <c r="Q22" s="121">
        <v>1456.021852</v>
      </c>
      <c r="R22" s="121">
        <v>1403.5534280000002</v>
      </c>
      <c r="S22" s="121">
        <v>1740.0356309999997</v>
      </c>
      <c r="T22" s="121">
        <v>1696.4105579999998</v>
      </c>
      <c r="U22" s="121">
        <v>1243.5362</v>
      </c>
      <c r="V22" s="121">
        <v>1700.50565</v>
      </c>
      <c r="W22" s="121">
        <v>924.2443</v>
      </c>
      <c r="X22" s="121">
        <v>992.344</v>
      </c>
      <c r="Y22" s="121">
        <v>1814.9184</v>
      </c>
      <c r="Z22" s="121">
        <v>1976.9</v>
      </c>
      <c r="AA22" s="121">
        <v>1682.2835999999998</v>
      </c>
      <c r="AB22" s="121">
        <v>1399.5610000000001</v>
      </c>
      <c r="AC22" s="121">
        <v>593.9435</v>
      </c>
      <c r="AD22" s="121">
        <v>1733.859</v>
      </c>
      <c r="AE22" s="121">
        <v>1549.78089632</v>
      </c>
      <c r="AF22" s="121">
        <v>2540.1643263039996</v>
      </c>
      <c r="AG22" s="121">
        <v>5051.22877888</v>
      </c>
      <c r="AH22" s="121">
        <v>7284.197599212079</v>
      </c>
      <c r="AI22" s="121">
        <v>9541.652368707</v>
      </c>
      <c r="AJ22" s="121">
        <v>27256.73193</v>
      </c>
      <c r="AK22" s="121">
        <v>39345.4995561316</v>
      </c>
      <c r="AL22" s="121">
        <v>39698.8077844231</v>
      </c>
      <c r="AM22" s="121">
        <v>50486.93329999999</v>
      </c>
      <c r="AN22" s="121">
        <v>49445.59716738001</v>
      </c>
      <c r="AO22" s="121">
        <v>40614.450928000006</v>
      </c>
      <c r="AP22" s="121">
        <v>87846.89617479999</v>
      </c>
      <c r="AQ22" s="121">
        <v>124657.66238451998</v>
      </c>
      <c r="AR22" s="121">
        <f>'[1]Current'!AR2346</f>
        <v>0</v>
      </c>
      <c r="AS22" s="116"/>
    </row>
    <row r="23" spans="1:45" s="117" customFormat="1" ht="15.75">
      <c r="A23" s="122" t="s">
        <v>15</v>
      </c>
      <c r="B23" s="123">
        <v>30.8</v>
      </c>
      <c r="C23" s="123">
        <v>33.9</v>
      </c>
      <c r="D23" s="123">
        <v>35.3</v>
      </c>
      <c r="E23" s="123">
        <v>41.2</v>
      </c>
      <c r="F23" s="123">
        <v>45.9</v>
      </c>
      <c r="G23" s="123">
        <v>53.8</v>
      </c>
      <c r="H23" s="123">
        <v>60.1</v>
      </c>
      <c r="I23" s="123">
        <v>69</v>
      </c>
      <c r="J23" s="123">
        <v>82.2</v>
      </c>
      <c r="K23" s="123">
        <v>93.7</v>
      </c>
      <c r="L23" s="123">
        <v>110.7</v>
      </c>
      <c r="M23" s="123">
        <v>127.6</v>
      </c>
      <c r="N23" s="123">
        <v>203.4</v>
      </c>
      <c r="O23" s="123">
        <v>257.2</v>
      </c>
      <c r="P23" s="123">
        <v>565.5408199999999</v>
      </c>
      <c r="Q23" s="123">
        <v>1416.7218520000001</v>
      </c>
      <c r="R23" s="123">
        <v>1363.153428</v>
      </c>
      <c r="S23" s="123">
        <v>1701.9356309999998</v>
      </c>
      <c r="T23" s="123">
        <v>1652.310558</v>
      </c>
      <c r="U23" s="123">
        <v>1205.2362</v>
      </c>
      <c r="V23" s="123">
        <v>1643.30565</v>
      </c>
      <c r="W23" s="123">
        <v>878.1442999999999</v>
      </c>
      <c r="X23" s="123">
        <v>965.244</v>
      </c>
      <c r="Y23" s="123">
        <v>1790.9184</v>
      </c>
      <c r="Z23" s="123">
        <v>1945.8</v>
      </c>
      <c r="AA23" s="123">
        <v>1649.1835999999998</v>
      </c>
      <c r="AB23" s="123">
        <v>1358.661</v>
      </c>
      <c r="AC23" s="123">
        <v>523.5435</v>
      </c>
      <c r="AD23" s="123">
        <v>879.759</v>
      </c>
      <c r="AE23" s="123">
        <v>804.7932963200001</v>
      </c>
      <c r="AF23" s="123">
        <v>1584.0691263039998</v>
      </c>
      <c r="AG23" s="123">
        <v>3454.65597888</v>
      </c>
      <c r="AH23" s="123">
        <v>3591.4915992120787</v>
      </c>
      <c r="AI23" s="123">
        <v>5182.160368706999</v>
      </c>
      <c r="AJ23" s="123">
        <v>20474.661930000002</v>
      </c>
      <c r="AK23" s="123">
        <v>25780.0515561316</v>
      </c>
      <c r="AL23" s="123">
        <v>29157.8529844231</v>
      </c>
      <c r="AM23" s="123">
        <v>39164.45329999999</v>
      </c>
      <c r="AN23" s="123">
        <v>37541.95116738001</v>
      </c>
      <c r="AO23" s="123">
        <v>23430.101928000004</v>
      </c>
      <c r="AP23" s="123">
        <v>56685.882094799985</v>
      </c>
      <c r="AQ23" s="123">
        <v>90885.00773451998</v>
      </c>
      <c r="AR23" s="123">
        <f>'[1]Current'!AR2347</f>
        <v>0</v>
      </c>
      <c r="AS23" s="116"/>
    </row>
    <row r="24" spans="1:45" s="117" customFormat="1" ht="15.75">
      <c r="A24" s="122" t="s">
        <v>16</v>
      </c>
      <c r="B24" s="123">
        <v>9.9</v>
      </c>
      <c r="C24" s="123">
        <v>9.1</v>
      </c>
      <c r="D24" s="123">
        <v>9.8</v>
      </c>
      <c r="E24" s="123">
        <v>9.4</v>
      </c>
      <c r="F24" s="123">
        <v>10.4</v>
      </c>
      <c r="G24" s="123">
        <v>11.5</v>
      </c>
      <c r="H24" s="123">
        <v>13.6</v>
      </c>
      <c r="I24" s="123">
        <v>11.8</v>
      </c>
      <c r="J24" s="123">
        <v>13.6</v>
      </c>
      <c r="K24" s="123">
        <v>16.3</v>
      </c>
      <c r="L24" s="123">
        <v>18.5</v>
      </c>
      <c r="M24" s="123">
        <v>21.8</v>
      </c>
      <c r="N24" s="123">
        <v>28.9</v>
      </c>
      <c r="O24" s="123">
        <v>33.6</v>
      </c>
      <c r="P24" s="123">
        <v>43.173649999999995</v>
      </c>
      <c r="Q24" s="123">
        <v>39.3</v>
      </c>
      <c r="R24" s="123">
        <v>40.4</v>
      </c>
      <c r="S24" s="123">
        <v>38.1</v>
      </c>
      <c r="T24" s="123">
        <v>44.1</v>
      </c>
      <c r="U24" s="123">
        <v>38.3</v>
      </c>
      <c r="V24" s="123">
        <v>57.2</v>
      </c>
      <c r="W24" s="123">
        <v>46.1</v>
      </c>
      <c r="X24" s="123">
        <v>27.1</v>
      </c>
      <c r="Y24" s="123">
        <v>24</v>
      </c>
      <c r="Z24" s="123">
        <v>31.1</v>
      </c>
      <c r="AA24" s="123">
        <v>33.1</v>
      </c>
      <c r="AB24" s="123">
        <v>40.9</v>
      </c>
      <c r="AC24" s="123">
        <v>70.4</v>
      </c>
      <c r="AD24" s="123">
        <v>854.1</v>
      </c>
      <c r="AE24" s="123">
        <v>744.9875999999999</v>
      </c>
      <c r="AF24" s="123">
        <v>956.0952</v>
      </c>
      <c r="AG24" s="123">
        <v>1596.5728000000001</v>
      </c>
      <c r="AH24" s="123">
        <v>3692.706</v>
      </c>
      <c r="AI24" s="123">
        <v>4359.492</v>
      </c>
      <c r="AJ24" s="123">
        <v>6782.07</v>
      </c>
      <c r="AK24" s="123">
        <v>13565.448</v>
      </c>
      <c r="AL24" s="123">
        <v>10540.954800000001</v>
      </c>
      <c r="AM24" s="123">
        <v>11322.48</v>
      </c>
      <c r="AN24" s="123">
        <v>11903.646</v>
      </c>
      <c r="AO24" s="123">
        <v>17184.349</v>
      </c>
      <c r="AP24" s="123">
        <v>31161.01408</v>
      </c>
      <c r="AQ24" s="123">
        <v>33772.65465</v>
      </c>
      <c r="AR24" s="123">
        <f>'[1]Current'!AR2348</f>
        <v>0</v>
      </c>
      <c r="AS24" s="116"/>
    </row>
    <row r="25" spans="1:45" s="117" customFormat="1" ht="15.75">
      <c r="A25" s="124" t="s">
        <v>17</v>
      </c>
      <c r="B25" s="121">
        <v>0.8</v>
      </c>
      <c r="C25" s="121">
        <v>1.1</v>
      </c>
      <c r="D25" s="121">
        <v>1</v>
      </c>
      <c r="E25" s="121">
        <v>1</v>
      </c>
      <c r="F25" s="121">
        <v>1</v>
      </c>
      <c r="G25" s="121">
        <v>1.6</v>
      </c>
      <c r="H25" s="121">
        <v>2.2</v>
      </c>
      <c r="I25" s="121">
        <v>3.1</v>
      </c>
      <c r="J25" s="121">
        <v>3.3</v>
      </c>
      <c r="K25" s="121">
        <v>4.3</v>
      </c>
      <c r="L25" s="121">
        <v>4</v>
      </c>
      <c r="M25" s="121">
        <v>4.3</v>
      </c>
      <c r="N25" s="121">
        <v>8.3</v>
      </c>
      <c r="O25" s="121">
        <v>7.7</v>
      </c>
      <c r="P25" s="121">
        <v>15.773679999999999</v>
      </c>
      <c r="Q25" s="121">
        <v>25.888512000000006</v>
      </c>
      <c r="R25" s="121">
        <v>35.85813400000001</v>
      </c>
      <c r="S25" s="121">
        <v>47.86452</v>
      </c>
      <c r="T25" s="121">
        <v>57.352812</v>
      </c>
      <c r="U25" s="121">
        <v>48.18975</v>
      </c>
      <c r="V25" s="121">
        <v>5.13555</v>
      </c>
      <c r="W25" s="121">
        <v>4.5</v>
      </c>
      <c r="X25" s="121">
        <v>3.6</v>
      </c>
      <c r="Y25" s="121">
        <v>4.9</v>
      </c>
      <c r="Z25" s="121">
        <v>7.6</v>
      </c>
      <c r="AA25" s="121">
        <v>6.8</v>
      </c>
      <c r="AB25" s="121">
        <v>6.3</v>
      </c>
      <c r="AC25" s="121">
        <v>4</v>
      </c>
      <c r="AD25" s="121">
        <v>46.4</v>
      </c>
      <c r="AE25" s="121">
        <v>47.4606</v>
      </c>
      <c r="AF25" s="121">
        <v>76.0114</v>
      </c>
      <c r="AG25" s="121">
        <v>77.8816</v>
      </c>
      <c r="AH25" s="121">
        <v>164.49200000000002</v>
      </c>
      <c r="AI25" s="121">
        <v>103.589</v>
      </c>
      <c r="AJ25" s="121">
        <v>162.9</v>
      </c>
      <c r="AK25" s="121">
        <v>286.416</v>
      </c>
      <c r="AL25" s="121">
        <v>663.462</v>
      </c>
      <c r="AM25" s="121">
        <v>1259.1398</v>
      </c>
      <c r="AN25" s="121">
        <v>1561.0058</v>
      </c>
      <c r="AO25" s="121">
        <v>4242.3048</v>
      </c>
      <c r="AP25" s="121">
        <v>5661.73268</v>
      </c>
      <c r="AQ25" s="121">
        <v>7153.009050000001</v>
      </c>
      <c r="AR25" s="121">
        <f>'[1]Current'!AR2349</f>
        <v>0</v>
      </c>
      <c r="AS25" s="116"/>
    </row>
    <row r="26" spans="1:45" s="117" customFormat="1" ht="15.75">
      <c r="A26" s="122" t="s">
        <v>18</v>
      </c>
      <c r="B26" s="123" t="e">
        <f>NA()</f>
        <v>#N/A</v>
      </c>
      <c r="C26" s="123" t="e">
        <f>NA()</f>
        <v>#N/A</v>
      </c>
      <c r="D26" s="123" t="e">
        <f>NA()</f>
        <v>#N/A</v>
      </c>
      <c r="E26" s="123" t="e">
        <f>NA()</f>
        <v>#N/A</v>
      </c>
      <c r="F26" s="123" t="e">
        <f>NA()</f>
        <v>#N/A</v>
      </c>
      <c r="G26" s="123" t="e">
        <f>NA()</f>
        <v>#N/A</v>
      </c>
      <c r="H26" s="123" t="e">
        <f>NA()</f>
        <v>#N/A</v>
      </c>
      <c r="I26" s="123" t="e">
        <f>NA()</f>
        <v>#N/A</v>
      </c>
      <c r="J26" s="123" t="e">
        <f>NA()</f>
        <v>#N/A</v>
      </c>
      <c r="K26" s="123" t="e">
        <f>NA()</f>
        <v>#N/A</v>
      </c>
      <c r="L26" s="123" t="e">
        <f>NA()</f>
        <v>#N/A</v>
      </c>
      <c r="M26" s="123" t="e">
        <f>NA()</f>
        <v>#N/A</v>
      </c>
      <c r="N26" s="123" t="e">
        <f>NA()</f>
        <v>#N/A</v>
      </c>
      <c r="O26" s="123" t="e">
        <f>NA()</f>
        <v>#N/A</v>
      </c>
      <c r="P26" s="123">
        <v>5.8</v>
      </c>
      <c r="Q26" s="123">
        <v>8.831758000000002</v>
      </c>
      <c r="R26" s="123">
        <v>12.043434000000001</v>
      </c>
      <c r="S26" s="123">
        <v>14.992857</v>
      </c>
      <c r="T26" s="123">
        <v>16.416714</v>
      </c>
      <c r="U26" s="123">
        <v>22.512</v>
      </c>
      <c r="V26" s="123">
        <v>2.88435</v>
      </c>
      <c r="W26" s="123">
        <v>2.4</v>
      </c>
      <c r="X26" s="123">
        <v>2.2</v>
      </c>
      <c r="Y26" s="123">
        <v>4.1</v>
      </c>
      <c r="Z26" s="123">
        <v>6.6</v>
      </c>
      <c r="AA26" s="123">
        <v>5.1</v>
      </c>
      <c r="AB26" s="123">
        <v>3.8</v>
      </c>
      <c r="AC26" s="123">
        <v>2.5</v>
      </c>
      <c r="AD26" s="123">
        <v>38.3</v>
      </c>
      <c r="AE26" s="123">
        <v>39.5505</v>
      </c>
      <c r="AF26" s="123">
        <v>62.27439999999999</v>
      </c>
      <c r="AG26" s="123">
        <v>43.8084</v>
      </c>
      <c r="AH26" s="123">
        <v>85.034</v>
      </c>
      <c r="AI26" s="123">
        <v>58.36</v>
      </c>
      <c r="AJ26" s="123">
        <v>34.39</v>
      </c>
      <c r="AK26" s="123">
        <v>255.528</v>
      </c>
      <c r="AL26" s="123">
        <v>446.6232</v>
      </c>
      <c r="AM26" s="123">
        <v>1190.1888</v>
      </c>
      <c r="AN26" s="123">
        <v>1495.5562</v>
      </c>
      <c r="AO26" s="123">
        <v>1598.5587999999998</v>
      </c>
      <c r="AP26" s="123">
        <v>2475.26004</v>
      </c>
      <c r="AQ26" s="123">
        <v>3380.7465</v>
      </c>
      <c r="AR26" s="123">
        <f>'[1]Current'!AR2350</f>
        <v>0</v>
      </c>
      <c r="AS26" s="116"/>
    </row>
    <row r="27" spans="1:45" s="117" customFormat="1" ht="15.75">
      <c r="A27" s="122" t="s">
        <v>16</v>
      </c>
      <c r="B27" s="123" t="e">
        <f>NA()</f>
        <v>#N/A</v>
      </c>
      <c r="C27" s="123" t="e">
        <f>NA()</f>
        <v>#N/A</v>
      </c>
      <c r="D27" s="123" t="e">
        <f>NA()</f>
        <v>#N/A</v>
      </c>
      <c r="E27" s="123" t="e">
        <f>NA()</f>
        <v>#N/A</v>
      </c>
      <c r="F27" s="123" t="e">
        <f>NA()</f>
        <v>#N/A</v>
      </c>
      <c r="G27" s="123" t="e">
        <f>NA()</f>
        <v>#N/A</v>
      </c>
      <c r="H27" s="123" t="e">
        <f>NA()</f>
        <v>#N/A</v>
      </c>
      <c r="I27" s="123" t="e">
        <f>NA()</f>
        <v>#N/A</v>
      </c>
      <c r="J27" s="123" t="e">
        <f>NA()</f>
        <v>#N/A</v>
      </c>
      <c r="K27" s="123" t="e">
        <f>NA()</f>
        <v>#N/A</v>
      </c>
      <c r="L27" s="123" t="e">
        <f>NA()</f>
        <v>#N/A</v>
      </c>
      <c r="M27" s="123" t="e">
        <f>NA()</f>
        <v>#N/A</v>
      </c>
      <c r="N27" s="123" t="e">
        <f>NA()</f>
        <v>#N/A</v>
      </c>
      <c r="O27" s="123" t="e">
        <f>NA()</f>
        <v>#N/A</v>
      </c>
      <c r="P27" s="123">
        <v>10</v>
      </c>
      <c r="Q27" s="123">
        <v>17.056754</v>
      </c>
      <c r="R27" s="123">
        <v>23.814700000000002</v>
      </c>
      <c r="S27" s="123">
        <v>32.871663</v>
      </c>
      <c r="T27" s="123">
        <v>40.936098</v>
      </c>
      <c r="U27" s="123">
        <v>25.677749999999996</v>
      </c>
      <c r="V27" s="123">
        <v>2.2512</v>
      </c>
      <c r="W27" s="123">
        <v>2.1</v>
      </c>
      <c r="X27" s="123">
        <v>1.4</v>
      </c>
      <c r="Y27" s="123">
        <v>0.8</v>
      </c>
      <c r="Z27" s="123">
        <v>1</v>
      </c>
      <c r="AA27" s="123">
        <v>1.7</v>
      </c>
      <c r="AB27" s="123">
        <v>2.5</v>
      </c>
      <c r="AC27" s="123">
        <v>1.5</v>
      </c>
      <c r="AD27" s="123">
        <v>8.1</v>
      </c>
      <c r="AE27" s="123">
        <v>7.910100000000001</v>
      </c>
      <c r="AF27" s="123">
        <v>13.737</v>
      </c>
      <c r="AG27" s="123">
        <v>34.07320000000001</v>
      </c>
      <c r="AH27" s="123">
        <v>79.458</v>
      </c>
      <c r="AI27" s="123">
        <v>45.229</v>
      </c>
      <c r="AJ27" s="123">
        <v>128.51</v>
      </c>
      <c r="AK27" s="123">
        <v>30.888</v>
      </c>
      <c r="AL27" s="123">
        <v>216.83880000000002</v>
      </c>
      <c r="AM27" s="123">
        <v>68.951</v>
      </c>
      <c r="AN27" s="123">
        <v>65.4496</v>
      </c>
      <c r="AO27" s="123">
        <v>2643.746</v>
      </c>
      <c r="AP27" s="123">
        <v>3186.47264</v>
      </c>
      <c r="AQ27" s="123">
        <v>3772.26255</v>
      </c>
      <c r="AR27" s="123">
        <f>'[1]Current'!AR2351</f>
        <v>0</v>
      </c>
      <c r="AS27" s="116"/>
    </row>
    <row r="28" spans="1:45" s="117" customFormat="1" ht="15.75">
      <c r="A28" s="118" t="s">
        <v>19</v>
      </c>
      <c r="B28" s="119">
        <v>48.2</v>
      </c>
      <c r="C28" s="119">
        <v>49.7</v>
      </c>
      <c r="D28" s="119">
        <v>47.8</v>
      </c>
      <c r="E28" s="119">
        <v>43.7</v>
      </c>
      <c r="F28" s="119">
        <v>41.8</v>
      </c>
      <c r="G28" s="119">
        <v>59.8</v>
      </c>
      <c r="H28" s="119">
        <v>69.5</v>
      </c>
      <c r="I28" s="119">
        <v>81.4</v>
      </c>
      <c r="J28" s="119">
        <v>101.1</v>
      </c>
      <c r="K28" s="119">
        <v>120.4</v>
      </c>
      <c r="L28" s="119">
        <v>139.6</v>
      </c>
      <c r="M28" s="119">
        <v>158.4</v>
      </c>
      <c r="N28" s="119">
        <v>199.3</v>
      </c>
      <c r="O28" s="119">
        <v>251.1</v>
      </c>
      <c r="P28" s="119">
        <v>346.27306999999996</v>
      </c>
      <c r="Q28" s="119">
        <v>674.8529639999999</v>
      </c>
      <c r="R28" s="119">
        <v>1122.03756</v>
      </c>
      <c r="S28" s="119">
        <v>1217.675082</v>
      </c>
      <c r="T28" s="119">
        <v>1487.130656</v>
      </c>
      <c r="U28" s="119">
        <v>1097.4769999999999</v>
      </c>
      <c r="V28" s="119">
        <v>919.2825999999999</v>
      </c>
      <c r="W28" s="119">
        <v>1744.6155999999999</v>
      </c>
      <c r="X28" s="119">
        <v>2019.4420000000002</v>
      </c>
      <c r="Y28" s="119">
        <v>2004.5748</v>
      </c>
      <c r="Z28" s="119">
        <v>2965.4966999999997</v>
      </c>
      <c r="AA28" s="119">
        <v>2227.3233000000005</v>
      </c>
      <c r="AB28" s="119">
        <v>2029.6760000000002</v>
      </c>
      <c r="AC28" s="119">
        <v>1497.7058</v>
      </c>
      <c r="AD28" s="119">
        <v>1522.9151000000002</v>
      </c>
      <c r="AE28" s="119">
        <v>2813.9028</v>
      </c>
      <c r="AF28" s="119">
        <v>4476.3306</v>
      </c>
      <c r="AG28" s="119">
        <v>8170.1892</v>
      </c>
      <c r="AH28" s="119">
        <v>14730.819599999999</v>
      </c>
      <c r="AI28" s="119">
        <v>17699.4918</v>
      </c>
      <c r="AJ28" s="119">
        <v>19847.449800000002</v>
      </c>
      <c r="AK28" s="119">
        <v>17024.3895</v>
      </c>
      <c r="AL28" s="119">
        <v>24386.169850000002</v>
      </c>
      <c r="AM28" s="119">
        <v>37160.285075</v>
      </c>
      <c r="AN28" s="119">
        <v>44727.508765</v>
      </c>
      <c r="AO28" s="119">
        <v>51567.063425</v>
      </c>
      <c r="AP28" s="119">
        <v>64930.59215000001</v>
      </c>
      <c r="AQ28" s="119">
        <v>101190.399475</v>
      </c>
      <c r="AR28" s="119">
        <f>'[1]Current'!AR2352</f>
        <v>0</v>
      </c>
      <c r="AS28" s="116"/>
    </row>
    <row r="29" spans="1:45" s="117" customFormat="1" ht="15.75">
      <c r="A29" s="124" t="s">
        <v>20</v>
      </c>
      <c r="B29" s="121">
        <v>44.8</v>
      </c>
      <c r="C29" s="121">
        <v>46.7</v>
      </c>
      <c r="D29" s="121">
        <v>45.2</v>
      </c>
      <c r="E29" s="121">
        <v>40.7</v>
      </c>
      <c r="F29" s="121">
        <v>38.2</v>
      </c>
      <c r="G29" s="121">
        <v>55.2</v>
      </c>
      <c r="H29" s="121">
        <v>64.7</v>
      </c>
      <c r="I29" s="121">
        <v>76.3</v>
      </c>
      <c r="J29" s="121">
        <v>95.9</v>
      </c>
      <c r="K29" s="121">
        <v>113.7</v>
      </c>
      <c r="L29" s="121">
        <v>131.5</v>
      </c>
      <c r="M29" s="121">
        <v>146.6</v>
      </c>
      <c r="N29" s="121">
        <v>189.3</v>
      </c>
      <c r="O29" s="121">
        <v>240.9</v>
      </c>
      <c r="P29" s="121">
        <v>325.33214999999996</v>
      </c>
      <c r="Q29" s="121">
        <v>628.29738</v>
      </c>
      <c r="R29" s="121">
        <v>1040.77008</v>
      </c>
      <c r="S29" s="121">
        <v>1094.410027</v>
      </c>
      <c r="T29" s="121">
        <v>1308.80508</v>
      </c>
      <c r="U29" s="121">
        <v>973.9975999999999</v>
      </c>
      <c r="V29" s="121">
        <v>705.5057999999999</v>
      </c>
      <c r="W29" s="121">
        <v>1542.5675999999999</v>
      </c>
      <c r="X29" s="121">
        <v>1926.4245000000003</v>
      </c>
      <c r="Y29" s="121">
        <v>1945.182</v>
      </c>
      <c r="Z29" s="121">
        <v>2886.4802999999997</v>
      </c>
      <c r="AA29" s="121">
        <v>2134.9662000000003</v>
      </c>
      <c r="AB29" s="121">
        <v>1941.5215</v>
      </c>
      <c r="AC29" s="121">
        <v>1459.4518</v>
      </c>
      <c r="AD29" s="121">
        <v>1491.6972</v>
      </c>
      <c r="AE29" s="121">
        <v>2515.1567999999997</v>
      </c>
      <c r="AF29" s="121">
        <v>4022.2968</v>
      </c>
      <c r="AG29" s="121">
        <v>7225.686</v>
      </c>
      <c r="AH29" s="121">
        <v>12889.723</v>
      </c>
      <c r="AI29" s="121">
        <v>15246.7974</v>
      </c>
      <c r="AJ29" s="121">
        <v>17167.3587</v>
      </c>
      <c r="AK29" s="121">
        <v>15414.188900000001</v>
      </c>
      <c r="AL29" s="121">
        <v>22045.3692</v>
      </c>
      <c r="AM29" s="121">
        <v>32885.866</v>
      </c>
      <c r="AN29" s="121">
        <v>39254.8785</v>
      </c>
      <c r="AO29" s="121">
        <v>45572.34</v>
      </c>
      <c r="AP29" s="121">
        <v>56261.79082500001</v>
      </c>
      <c r="AQ29" s="121">
        <v>89158.267925</v>
      </c>
      <c r="AR29" s="121">
        <f>'[1]Current'!AR2353</f>
        <v>0</v>
      </c>
      <c r="AS29" s="116"/>
    </row>
    <row r="30" spans="1:45" s="117" customFormat="1" ht="15.75">
      <c r="A30" s="124" t="s">
        <v>17</v>
      </c>
      <c r="B30" s="129">
        <v>3.4</v>
      </c>
      <c r="C30" s="129">
        <v>3</v>
      </c>
      <c r="D30" s="129">
        <v>2.6</v>
      </c>
      <c r="E30" s="129">
        <v>3</v>
      </c>
      <c r="F30" s="129">
        <v>3.6</v>
      </c>
      <c r="G30" s="129">
        <v>4.6</v>
      </c>
      <c r="H30" s="129">
        <v>4.8</v>
      </c>
      <c r="I30" s="129">
        <v>5.1</v>
      </c>
      <c r="J30" s="129">
        <v>5.2</v>
      </c>
      <c r="K30" s="129">
        <v>6.7</v>
      </c>
      <c r="L30" s="129">
        <v>8.1</v>
      </c>
      <c r="M30" s="129">
        <v>11.8</v>
      </c>
      <c r="N30" s="129">
        <v>10</v>
      </c>
      <c r="O30" s="129">
        <v>10.2</v>
      </c>
      <c r="P30" s="129">
        <v>20.94092</v>
      </c>
      <c r="Q30" s="129">
        <v>46.55558400000001</v>
      </c>
      <c r="R30" s="129">
        <v>81.26748</v>
      </c>
      <c r="S30" s="129">
        <v>123.26505499999999</v>
      </c>
      <c r="T30" s="129">
        <v>178.32557599999998</v>
      </c>
      <c r="U30" s="129">
        <v>123.4794</v>
      </c>
      <c r="V30" s="129">
        <v>213.77679999999998</v>
      </c>
      <c r="W30" s="129">
        <v>202.048</v>
      </c>
      <c r="X30" s="129">
        <v>93.0175</v>
      </c>
      <c r="Y30" s="129">
        <v>59.3928</v>
      </c>
      <c r="Z30" s="129">
        <v>79.0164</v>
      </c>
      <c r="AA30" s="129">
        <v>92.3571</v>
      </c>
      <c r="AB30" s="129">
        <v>88.15450000000001</v>
      </c>
      <c r="AC30" s="129">
        <v>38.254000000000005</v>
      </c>
      <c r="AD30" s="129">
        <v>31.2179</v>
      </c>
      <c r="AE30" s="129">
        <v>298.7459999999999</v>
      </c>
      <c r="AF30" s="129">
        <v>454.03380000000004</v>
      </c>
      <c r="AG30" s="129">
        <v>944.5032</v>
      </c>
      <c r="AH30" s="129">
        <v>1841.0965999999999</v>
      </c>
      <c r="AI30" s="129">
        <v>2452.6944</v>
      </c>
      <c r="AJ30" s="129">
        <v>2680.0911</v>
      </c>
      <c r="AK30" s="129">
        <v>1610.2006000000001</v>
      </c>
      <c r="AL30" s="129">
        <v>2340.80065</v>
      </c>
      <c r="AM30" s="129">
        <v>4274.419075</v>
      </c>
      <c r="AN30" s="129">
        <v>5472.630265</v>
      </c>
      <c r="AO30" s="129">
        <v>5994.723425000001</v>
      </c>
      <c r="AP30" s="129">
        <v>8668.801325</v>
      </c>
      <c r="AQ30" s="129">
        <v>12032.13155</v>
      </c>
      <c r="AR30" s="129">
        <f>'[1]Current'!AR2354</f>
        <v>0</v>
      </c>
      <c r="AS30" s="116"/>
    </row>
    <row r="31" spans="1:45" s="117" customFormat="1" ht="15.75">
      <c r="A31" s="122" t="s">
        <v>21</v>
      </c>
      <c r="B31" s="123" t="e">
        <f>NA()</f>
        <v>#N/A</v>
      </c>
      <c r="C31" s="123" t="e">
        <f>NA()</f>
        <v>#N/A</v>
      </c>
      <c r="D31" s="123" t="e">
        <f>NA()</f>
        <v>#N/A</v>
      </c>
      <c r="E31" s="123" t="e">
        <f>NA()</f>
        <v>#N/A</v>
      </c>
      <c r="F31" s="123" t="e">
        <f>NA()</f>
        <v>#N/A</v>
      </c>
      <c r="G31" s="123" t="e">
        <f>NA()</f>
        <v>#N/A</v>
      </c>
      <c r="H31" s="123" t="e">
        <f>NA()</f>
        <v>#N/A</v>
      </c>
      <c r="I31" s="123" t="e">
        <f>NA()</f>
        <v>#N/A</v>
      </c>
      <c r="J31" s="123" t="e">
        <f>NA()</f>
        <v>#N/A</v>
      </c>
      <c r="K31" s="123" t="e">
        <f>NA()</f>
        <v>#N/A</v>
      </c>
      <c r="L31" s="123" t="e">
        <f>NA()</f>
        <v>#N/A</v>
      </c>
      <c r="M31" s="123" t="e">
        <f>NA()</f>
        <v>#N/A</v>
      </c>
      <c r="N31" s="123" t="e">
        <f>NA()</f>
        <v>#N/A</v>
      </c>
      <c r="O31" s="123" t="e">
        <f>NA()</f>
        <v>#N/A</v>
      </c>
      <c r="P31" s="123">
        <v>4.6</v>
      </c>
      <c r="Q31" s="123">
        <v>9.338184000000002</v>
      </c>
      <c r="R31" s="123">
        <v>26.497296000000002</v>
      </c>
      <c r="S31" s="123">
        <v>34.82502699999999</v>
      </c>
      <c r="T31" s="123">
        <v>44.1925</v>
      </c>
      <c r="U31" s="123">
        <v>7.06</v>
      </c>
      <c r="V31" s="123">
        <v>6.706999999999999</v>
      </c>
      <c r="W31" s="123">
        <v>6.888</v>
      </c>
      <c r="X31" s="123">
        <v>5.645200000000001</v>
      </c>
      <c r="Y31" s="123">
        <v>5.1528</v>
      </c>
      <c r="Z31" s="123">
        <v>14.01</v>
      </c>
      <c r="AA31" s="123">
        <v>20.474700000000002</v>
      </c>
      <c r="AB31" s="123">
        <v>16.2725</v>
      </c>
      <c r="AC31" s="123">
        <v>7.7742</v>
      </c>
      <c r="AD31" s="123">
        <v>3.4937000000000005</v>
      </c>
      <c r="AE31" s="123">
        <v>282.38609999999994</v>
      </c>
      <c r="AF31" s="123">
        <v>415.44990000000007</v>
      </c>
      <c r="AG31" s="123">
        <v>810.4752</v>
      </c>
      <c r="AH31" s="123">
        <v>1465.5087999999998</v>
      </c>
      <c r="AI31" s="123">
        <v>1726.1885</v>
      </c>
      <c r="AJ31" s="123">
        <v>1912.8249</v>
      </c>
      <c r="AK31" s="123">
        <v>1428.1673</v>
      </c>
      <c r="AL31" s="123">
        <v>1922.5412</v>
      </c>
      <c r="AM31" s="123">
        <v>3635.5138</v>
      </c>
      <c r="AN31" s="123">
        <v>4233.1512999999995</v>
      </c>
      <c r="AO31" s="123">
        <v>5216.772400000001</v>
      </c>
      <c r="AP31" s="123">
        <v>4941.261800000001</v>
      </c>
      <c r="AQ31" s="123">
        <v>6985.44</v>
      </c>
      <c r="AR31" s="123">
        <f>'[1]Current'!AR2355</f>
        <v>0</v>
      </c>
      <c r="AS31" s="116"/>
    </row>
    <row r="32" spans="1:45" s="117" customFormat="1" ht="15.75">
      <c r="A32" s="122" t="s">
        <v>16</v>
      </c>
      <c r="B32" s="123" t="e">
        <f>NA()</f>
        <v>#N/A</v>
      </c>
      <c r="C32" s="123" t="e">
        <f>NA()</f>
        <v>#N/A</v>
      </c>
      <c r="D32" s="123" t="e">
        <f>NA()</f>
        <v>#N/A</v>
      </c>
      <c r="E32" s="123" t="e">
        <f>NA()</f>
        <v>#N/A</v>
      </c>
      <c r="F32" s="123" t="e">
        <f>NA()</f>
        <v>#N/A</v>
      </c>
      <c r="G32" s="123" t="e">
        <f>NA()</f>
        <v>#N/A</v>
      </c>
      <c r="H32" s="123" t="e">
        <f>NA()</f>
        <v>#N/A</v>
      </c>
      <c r="I32" s="123" t="e">
        <f>NA()</f>
        <v>#N/A</v>
      </c>
      <c r="J32" s="123" t="e">
        <f>NA()</f>
        <v>#N/A</v>
      </c>
      <c r="K32" s="123" t="e">
        <f>NA()</f>
        <v>#N/A</v>
      </c>
      <c r="L32" s="123" t="e">
        <f>NA()</f>
        <v>#N/A</v>
      </c>
      <c r="M32" s="123" t="e">
        <f>NA()</f>
        <v>#N/A</v>
      </c>
      <c r="N32" s="123" t="e">
        <f>NA()</f>
        <v>#N/A</v>
      </c>
      <c r="O32" s="123" t="e">
        <f>NA()</f>
        <v>#N/A</v>
      </c>
      <c r="P32" s="123">
        <v>16.3</v>
      </c>
      <c r="Q32" s="123">
        <v>37.217400000000005</v>
      </c>
      <c r="R32" s="123">
        <v>54.770184</v>
      </c>
      <c r="S32" s="123">
        <v>88.440028</v>
      </c>
      <c r="T32" s="123">
        <v>134.133076</v>
      </c>
      <c r="U32" s="123">
        <v>116.4194</v>
      </c>
      <c r="V32" s="123">
        <v>207.0698</v>
      </c>
      <c r="W32" s="123">
        <v>195.16</v>
      </c>
      <c r="X32" s="123">
        <v>87.37230000000001</v>
      </c>
      <c r="Y32" s="123">
        <v>54.24</v>
      </c>
      <c r="Z32" s="123">
        <v>65.0064</v>
      </c>
      <c r="AA32" s="123">
        <v>71.8824</v>
      </c>
      <c r="AB32" s="123">
        <v>71.882</v>
      </c>
      <c r="AC32" s="123">
        <v>30.479800000000004</v>
      </c>
      <c r="AD32" s="123">
        <v>27.7242</v>
      </c>
      <c r="AE32" s="123">
        <v>16.3599</v>
      </c>
      <c r="AF32" s="123">
        <v>38.5839</v>
      </c>
      <c r="AG32" s="123">
        <v>134.028</v>
      </c>
      <c r="AH32" s="123">
        <v>375.5878</v>
      </c>
      <c r="AI32" s="123">
        <v>726.5059</v>
      </c>
      <c r="AJ32" s="123">
        <v>767.2662</v>
      </c>
      <c r="AK32" s="123">
        <v>182.03330000000003</v>
      </c>
      <c r="AL32" s="123">
        <v>418.25945</v>
      </c>
      <c r="AM32" s="123">
        <v>638.9052750000001</v>
      </c>
      <c r="AN32" s="123">
        <v>1239.478965</v>
      </c>
      <c r="AO32" s="123">
        <v>777.951025</v>
      </c>
      <c r="AP32" s="123">
        <v>3727.539525</v>
      </c>
      <c r="AQ32" s="123">
        <v>5046.69155</v>
      </c>
      <c r="AR32" s="123">
        <f>'[1]Current'!AR2356</f>
        <v>0</v>
      </c>
      <c r="AS32" s="116"/>
    </row>
    <row r="33" spans="1:45" s="117" customFormat="1" ht="15.75">
      <c r="A33" s="125" t="s">
        <v>22</v>
      </c>
      <c r="B33" s="126">
        <f>B21-B28</f>
        <v>-6.700000000000003</v>
      </c>
      <c r="C33" s="126">
        <f aca="true" t="shared" si="1" ref="C33:AR33">C21-C28</f>
        <v>-5.600000000000001</v>
      </c>
      <c r="D33" s="126">
        <f t="shared" si="1"/>
        <v>-1.6999999999999957</v>
      </c>
      <c r="E33" s="126">
        <f t="shared" si="1"/>
        <v>7.899999999999999</v>
      </c>
      <c r="F33" s="126">
        <f t="shared" si="1"/>
        <v>15.5</v>
      </c>
      <c r="G33" s="126">
        <f t="shared" si="1"/>
        <v>7.1000000000000085</v>
      </c>
      <c r="H33" s="126">
        <f t="shared" si="1"/>
        <v>6.400000000000006</v>
      </c>
      <c r="I33" s="126">
        <f t="shared" si="1"/>
        <v>2.5</v>
      </c>
      <c r="J33" s="126">
        <f t="shared" si="1"/>
        <v>-2</v>
      </c>
      <c r="K33" s="126">
        <f t="shared" si="1"/>
        <v>-6.1000000000000085</v>
      </c>
      <c r="L33" s="126">
        <f t="shared" si="1"/>
        <v>-6.400000000000006</v>
      </c>
      <c r="M33" s="126">
        <f t="shared" si="1"/>
        <v>-4.700000000000017</v>
      </c>
      <c r="N33" s="126">
        <f t="shared" si="1"/>
        <v>41.29999999999998</v>
      </c>
      <c r="O33" s="126">
        <f t="shared" si="1"/>
        <v>47.400000000000006</v>
      </c>
      <c r="P33" s="126">
        <f t="shared" si="1"/>
        <v>278.21507999999994</v>
      </c>
      <c r="Q33" s="126">
        <f t="shared" si="1"/>
        <v>807.0574000000001</v>
      </c>
      <c r="R33" s="126">
        <f t="shared" si="1"/>
        <v>317.37400200000025</v>
      </c>
      <c r="S33" s="126">
        <f t="shared" si="1"/>
        <v>570.2250689999998</v>
      </c>
      <c r="T33" s="126">
        <f t="shared" si="1"/>
        <v>266.63271399999985</v>
      </c>
      <c r="U33" s="126">
        <f t="shared" si="1"/>
        <v>194.24895000000015</v>
      </c>
      <c r="V33" s="126">
        <f t="shared" si="1"/>
        <v>786.3586000000001</v>
      </c>
      <c r="W33" s="126">
        <f t="shared" si="1"/>
        <v>-815.8712999999999</v>
      </c>
      <c r="X33" s="126">
        <f t="shared" si="1"/>
        <v>-1023.4980000000002</v>
      </c>
      <c r="Y33" s="126">
        <f t="shared" si="1"/>
        <v>-184.75639999999999</v>
      </c>
      <c r="Z33" s="126">
        <f t="shared" si="1"/>
        <v>-980.9966999999997</v>
      </c>
      <c r="AA33" s="126">
        <f t="shared" si="1"/>
        <v>-538.2397000000008</v>
      </c>
      <c r="AB33" s="126">
        <f t="shared" si="1"/>
        <v>-623.815</v>
      </c>
      <c r="AC33" s="126">
        <f t="shared" si="1"/>
        <v>-899.7623</v>
      </c>
      <c r="AD33" s="126">
        <f t="shared" si="1"/>
        <v>257.34389999999985</v>
      </c>
      <c r="AE33" s="126">
        <f t="shared" si="1"/>
        <v>-1216.66130368</v>
      </c>
      <c r="AF33" s="126">
        <f t="shared" si="1"/>
        <v>-1860.1548736960008</v>
      </c>
      <c r="AG33" s="126">
        <f t="shared" si="1"/>
        <v>-3041.0788211199997</v>
      </c>
      <c r="AH33" s="126">
        <f t="shared" si="1"/>
        <v>-7282.13000078792</v>
      </c>
      <c r="AI33" s="126">
        <f t="shared" si="1"/>
        <v>-8054.250431293</v>
      </c>
      <c r="AJ33" s="126">
        <f t="shared" si="1"/>
        <v>7572.182130000001</v>
      </c>
      <c r="AK33" s="126">
        <f t="shared" si="1"/>
        <v>22607.5260561316</v>
      </c>
      <c r="AL33" s="126">
        <f t="shared" si="1"/>
        <v>15976.099934423099</v>
      </c>
      <c r="AM33" s="126">
        <f t="shared" si="1"/>
        <v>14585.788024999987</v>
      </c>
      <c r="AN33" s="126">
        <f t="shared" si="1"/>
        <v>6279.094202380009</v>
      </c>
      <c r="AO33" s="126">
        <f t="shared" si="1"/>
        <v>-6710.307696999997</v>
      </c>
      <c r="AP33" s="126">
        <f t="shared" si="1"/>
        <v>28578.036704799975</v>
      </c>
      <c r="AQ33" s="126">
        <f t="shared" si="1"/>
        <v>30620.27195951999</v>
      </c>
      <c r="AR33" s="126">
        <f t="shared" si="1"/>
        <v>0</v>
      </c>
      <c r="AS33" s="116"/>
    </row>
    <row r="34" spans="1:45" s="133" customFormat="1" ht="15.75">
      <c r="A34" s="130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2"/>
      <c r="AN34" s="132"/>
      <c r="AO34" s="132"/>
      <c r="AP34" s="132"/>
      <c r="AQ34" s="132"/>
      <c r="AR34" s="132"/>
      <c r="AS34" s="132"/>
    </row>
    <row r="35" spans="1:45" s="133" customFormat="1" ht="15.75">
      <c r="A35" s="130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2"/>
      <c r="AN35" s="132"/>
      <c r="AO35" s="132"/>
      <c r="AP35" s="132"/>
      <c r="AQ35" s="132"/>
      <c r="AR35" s="132"/>
      <c r="AS35" s="132"/>
    </row>
    <row r="36" spans="1:45" s="136" customFormat="1" ht="15.75">
      <c r="A36" s="134" t="s">
        <v>23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</row>
    <row r="37" spans="1:45" s="136" customFormat="1" ht="15.75">
      <c r="A37" s="137" t="s">
        <v>6</v>
      </c>
      <c r="B37" s="138">
        <f aca="true" t="shared" si="2" ref="B37:Q37">B38+B39</f>
        <v>0.05412541254125412</v>
      </c>
      <c r="C37" s="138">
        <f t="shared" si="2"/>
        <v>0.052805280528052806</v>
      </c>
      <c r="D37" s="138">
        <f t="shared" si="2"/>
        <v>0.05016501650165017</v>
      </c>
      <c r="E37" s="138">
        <f t="shared" si="2"/>
        <v>0.047524752475247525</v>
      </c>
      <c r="F37" s="138">
        <f t="shared" si="2"/>
        <v>0.044884488448844885</v>
      </c>
      <c r="G37" s="138">
        <f t="shared" si="2"/>
        <v>0.0462046204620462</v>
      </c>
      <c r="H37" s="138">
        <f t="shared" si="2"/>
        <v>0.0712871287128713</v>
      </c>
      <c r="I37" s="138">
        <f t="shared" si="2"/>
        <v>0.0726072607260726</v>
      </c>
      <c r="J37" s="138">
        <f t="shared" si="2"/>
        <v>0.08976897689768977</v>
      </c>
      <c r="K37" s="138">
        <f t="shared" si="2"/>
        <v>0.12673267326732673</v>
      </c>
      <c r="L37" s="138">
        <f t="shared" si="2"/>
        <v>0.15181518151815182</v>
      </c>
      <c r="M37" s="138">
        <f t="shared" si="2"/>
        <v>0.12805280528052806</v>
      </c>
      <c r="N37" s="138">
        <f t="shared" si="2"/>
        <v>0.17161716171617164</v>
      </c>
      <c r="O37" s="138">
        <f t="shared" si="2"/>
        <v>0.4239133590778433</v>
      </c>
      <c r="P37" s="138">
        <f t="shared" si="2"/>
        <v>0.5120150614814378</v>
      </c>
      <c r="Q37" s="138">
        <f t="shared" si="2"/>
        <v>1.327543638867092</v>
      </c>
      <c r="R37" s="138">
        <f aca="true" t="shared" si="3" ref="R37:AG37">R38+R39</f>
        <v>1.9361357334624358</v>
      </c>
      <c r="S37" s="138">
        <f t="shared" si="3"/>
        <v>2.5791530618033303</v>
      </c>
      <c r="T37" s="138">
        <f t="shared" si="3"/>
        <v>3.6516391765722624</v>
      </c>
      <c r="U37" s="138">
        <f t="shared" si="3"/>
        <v>3.5152228449804896</v>
      </c>
      <c r="V37" s="138">
        <f t="shared" si="3"/>
        <v>2.746128698119901</v>
      </c>
      <c r="W37" s="138">
        <f t="shared" si="3"/>
        <v>1.671246958518249</v>
      </c>
      <c r="X37" s="138">
        <f t="shared" si="3"/>
        <v>1.4048042538799743</v>
      </c>
      <c r="Y37" s="138">
        <f t="shared" si="3"/>
        <v>1.0612988813575388</v>
      </c>
      <c r="Z37" s="138">
        <f t="shared" si="3"/>
        <v>1.2462683914175297</v>
      </c>
      <c r="AA37" s="138">
        <f t="shared" si="3"/>
        <v>0.9926666157871783</v>
      </c>
      <c r="AB37" s="138">
        <f t="shared" si="3"/>
        <v>0.6918144030164337</v>
      </c>
      <c r="AC37" s="138">
        <f t="shared" si="3"/>
        <v>0.5557854037024501</v>
      </c>
      <c r="AD37" s="138">
        <f t="shared" si="3"/>
        <v>0.3745741675939399</v>
      </c>
      <c r="AE37" s="138">
        <f t="shared" si="3"/>
        <v>0.9062551279828972</v>
      </c>
      <c r="AF37" s="138">
        <f t="shared" si="3"/>
        <v>1.784144698463846</v>
      </c>
      <c r="AG37" s="138">
        <f t="shared" si="3"/>
        <v>2.732220977307698</v>
      </c>
      <c r="AH37" s="138">
        <f>AH38+AH39</f>
        <v>7.256755600784627</v>
      </c>
      <c r="AI37" s="138">
        <f>AI38+AI39</f>
        <v>8.787816422474782</v>
      </c>
      <c r="AJ37" s="138">
        <f>AJ38+AJ39</f>
        <v>1.144997913494135</v>
      </c>
      <c r="AK37" s="138">
        <f>AK38+AK39</f>
        <v>0.6554082332761578</v>
      </c>
      <c r="AL37" s="138">
        <f>AL38+AL39</f>
        <v>1.004762060085837</v>
      </c>
      <c r="AM37" s="135"/>
      <c r="AN37" s="135"/>
      <c r="AO37" s="135"/>
      <c r="AP37" s="135"/>
      <c r="AQ37" s="135"/>
      <c r="AR37" s="135"/>
      <c r="AS37" s="135"/>
    </row>
    <row r="38" spans="1:45" s="136" customFormat="1" ht="15.75">
      <c r="A38" s="139" t="s">
        <v>7</v>
      </c>
      <c r="B38" s="149">
        <f>B10/B3</f>
        <v>0.0013201320132013201</v>
      </c>
      <c r="C38" s="149">
        <f aca="true" t="shared" si="4" ref="C38:R38">C10/C3</f>
        <v>0.0013201320132013201</v>
      </c>
      <c r="D38" s="149">
        <f t="shared" si="4"/>
        <v>0.0013201320132013201</v>
      </c>
      <c r="E38" s="149">
        <f t="shared" si="4"/>
        <v>0.0026402640264026403</v>
      </c>
      <c r="F38" s="149">
        <f t="shared" si="4"/>
        <v>0.0026402640264026403</v>
      </c>
      <c r="G38" s="149">
        <f t="shared" si="4"/>
        <v>0.0026402640264026403</v>
      </c>
      <c r="H38" s="149">
        <f t="shared" si="4"/>
        <v>0.007920792079207921</v>
      </c>
      <c r="I38" s="149">
        <f t="shared" si="4"/>
        <v>0.006600660066006601</v>
      </c>
      <c r="J38" s="149">
        <f t="shared" si="4"/>
        <v>0.005280528052805281</v>
      </c>
      <c r="K38" s="149">
        <f t="shared" si="4"/>
        <v>0.007920792079207921</v>
      </c>
      <c r="L38" s="149">
        <f t="shared" si="4"/>
        <v>0.011881188118811881</v>
      </c>
      <c r="M38" s="149">
        <f t="shared" si="4"/>
        <v>0.007920792079207921</v>
      </c>
      <c r="N38" s="149">
        <f t="shared" si="4"/>
        <v>0.011881188118811881</v>
      </c>
      <c r="O38" s="149">
        <f t="shared" si="4"/>
        <v>0.03484219389680903</v>
      </c>
      <c r="P38" s="149">
        <f t="shared" si="4"/>
        <v>0.0630018532682238</v>
      </c>
      <c r="Q38" s="149">
        <f t="shared" si="4"/>
        <v>0.506977481012096</v>
      </c>
      <c r="R38" s="149">
        <f t="shared" si="4"/>
        <v>0.7659662866951279</v>
      </c>
      <c r="S38" s="149">
        <f aca="true" t="shared" si="5" ref="S38:AH38">S10/S3</f>
        <v>0.6099653969424512</v>
      </c>
      <c r="T38" s="149">
        <f t="shared" si="5"/>
        <v>0.7689673150758681</v>
      </c>
      <c r="U38" s="149">
        <f t="shared" si="5"/>
        <v>1.1000780418588154</v>
      </c>
      <c r="V38" s="149">
        <f t="shared" si="5"/>
        <v>1.2400879744590283</v>
      </c>
      <c r="W38" s="149">
        <f t="shared" si="5"/>
        <v>1.0040140559156645</v>
      </c>
      <c r="X38" s="149">
        <f t="shared" si="5"/>
        <v>0.8949663672917213</v>
      </c>
      <c r="Y38" s="149">
        <f t="shared" si="5"/>
        <v>0.6120145044319097</v>
      </c>
      <c r="Z38" s="149">
        <f t="shared" si="5"/>
        <v>0.7949908831320742</v>
      </c>
      <c r="AA38" s="149">
        <f t="shared" si="5"/>
        <v>0.5934819014391627</v>
      </c>
      <c r="AB38" s="149">
        <f t="shared" si="5"/>
        <v>0.3929955366776073</v>
      </c>
      <c r="AC38" s="149">
        <f t="shared" si="5"/>
        <v>0.3649809930481423</v>
      </c>
      <c r="AD38" s="149">
        <f t="shared" si="5"/>
        <v>0.20600587748580557</v>
      </c>
      <c r="AE38" s="149">
        <f t="shared" si="5"/>
        <v>0.22300644247992144</v>
      </c>
      <c r="AF38" s="149">
        <f t="shared" si="5"/>
        <v>0.3521564487902442</v>
      </c>
      <c r="AG38" s="149">
        <f t="shared" si="5"/>
        <v>0.4560068121722763</v>
      </c>
      <c r="AH38" s="149">
        <f t="shared" si="5"/>
        <v>0.2129905756382461</v>
      </c>
      <c r="AI38" s="149">
        <f>AI10/AI3</f>
        <v>0.2870130996394176</v>
      </c>
      <c r="AJ38" s="149">
        <f>AJ10/AJ3</f>
        <v>0.15099972483634447</v>
      </c>
      <c r="AK38" s="149">
        <f>AK10/AK3</f>
        <v>0.14200000000000002</v>
      </c>
      <c r="AL38" s="149">
        <f>AL10/AL3</f>
        <v>0.316</v>
      </c>
      <c r="AM38" s="135"/>
      <c r="AN38" s="135"/>
      <c r="AO38" s="135"/>
      <c r="AP38" s="135"/>
      <c r="AQ38" s="135"/>
      <c r="AR38" s="135"/>
      <c r="AS38" s="135"/>
    </row>
    <row r="39" spans="1:45" s="136" customFormat="1" ht="15.75">
      <c r="A39" s="139" t="s">
        <v>8</v>
      </c>
      <c r="B39" s="140">
        <f aca="true" t="shared" si="6" ref="B39:Q39">B40+B41</f>
        <v>0.052805280528052806</v>
      </c>
      <c r="C39" s="140">
        <f t="shared" si="6"/>
        <v>0.05148514851485148</v>
      </c>
      <c r="D39" s="140">
        <f t="shared" si="6"/>
        <v>0.04884488448844885</v>
      </c>
      <c r="E39" s="140">
        <f t="shared" si="6"/>
        <v>0.044884488448844885</v>
      </c>
      <c r="F39" s="140">
        <f t="shared" si="6"/>
        <v>0.042244224422442245</v>
      </c>
      <c r="G39" s="140">
        <f t="shared" si="6"/>
        <v>0.04356435643564356</v>
      </c>
      <c r="H39" s="140">
        <f t="shared" si="6"/>
        <v>0.06336633663366337</v>
      </c>
      <c r="I39" s="140">
        <f t="shared" si="6"/>
        <v>0.066006600660066</v>
      </c>
      <c r="J39" s="140">
        <f t="shared" si="6"/>
        <v>0.08448844884488449</v>
      </c>
      <c r="K39" s="140">
        <f t="shared" si="6"/>
        <v>0.1188118811881188</v>
      </c>
      <c r="L39" s="140">
        <f t="shared" si="6"/>
        <v>0.13993399339933993</v>
      </c>
      <c r="M39" s="140">
        <f t="shared" si="6"/>
        <v>0.12013201320132014</v>
      </c>
      <c r="N39" s="140">
        <f t="shared" si="6"/>
        <v>0.15973597359735975</v>
      </c>
      <c r="O39" s="140">
        <f t="shared" si="6"/>
        <v>0.38907116518103424</v>
      </c>
      <c r="P39" s="140">
        <f t="shared" si="6"/>
        <v>0.44901320821321405</v>
      </c>
      <c r="Q39" s="140">
        <f t="shared" si="6"/>
        <v>0.8205661578549961</v>
      </c>
      <c r="R39" s="140">
        <f aca="true" t="shared" si="7" ref="R39:AG39">R40+R41</f>
        <v>1.1701694467673078</v>
      </c>
      <c r="S39" s="140">
        <f t="shared" si="7"/>
        <v>1.9691876648608788</v>
      </c>
      <c r="T39" s="140">
        <f t="shared" si="7"/>
        <v>2.8826718614963944</v>
      </c>
      <c r="U39" s="140">
        <f t="shared" si="7"/>
        <v>2.4151448031216742</v>
      </c>
      <c r="V39" s="140">
        <f t="shared" si="7"/>
        <v>1.5060407236608726</v>
      </c>
      <c r="W39" s="140">
        <f t="shared" si="7"/>
        <v>0.6672329026025845</v>
      </c>
      <c r="X39" s="140">
        <f t="shared" si="7"/>
        <v>0.509837886588253</v>
      </c>
      <c r="Y39" s="140">
        <f t="shared" si="7"/>
        <v>0.44928437692562917</v>
      </c>
      <c r="Z39" s="140">
        <f t="shared" si="7"/>
        <v>0.4512775082854555</v>
      </c>
      <c r="AA39" s="140">
        <f t="shared" si="7"/>
        <v>0.3991847143480156</v>
      </c>
      <c r="AB39" s="140">
        <f t="shared" si="7"/>
        <v>0.29881886633882637</v>
      </c>
      <c r="AC39" s="140">
        <f t="shared" si="7"/>
        <v>0.1908044106543078</v>
      </c>
      <c r="AD39" s="140">
        <f t="shared" si="7"/>
        <v>0.16856829010813434</v>
      </c>
      <c r="AE39" s="140">
        <f t="shared" si="7"/>
        <v>0.6832486855029758</v>
      </c>
      <c r="AF39" s="140">
        <f t="shared" si="7"/>
        <v>1.4319882496736018</v>
      </c>
      <c r="AG39" s="140">
        <f t="shared" si="7"/>
        <v>2.2762141651354217</v>
      </c>
      <c r="AH39" s="140">
        <f>AH40+AH41</f>
        <v>7.043765025146381</v>
      </c>
      <c r="AI39" s="140">
        <f>AI40+AI41</f>
        <v>8.500803322835363</v>
      </c>
      <c r="AJ39" s="140">
        <f>AJ40+AJ41</f>
        <v>0.9939981886577907</v>
      </c>
      <c r="AK39" s="140">
        <f>AK40+AK41</f>
        <v>0.5134082332761578</v>
      </c>
      <c r="AL39" s="140">
        <f>AL40+AL41</f>
        <v>0.688762060085837</v>
      </c>
      <c r="AM39" s="135"/>
      <c r="AN39" s="135"/>
      <c r="AO39" s="135"/>
      <c r="AP39" s="135"/>
      <c r="AQ39" s="135"/>
      <c r="AR39" s="135"/>
      <c r="AS39" s="135"/>
    </row>
    <row r="40" spans="1:45" s="136" customFormat="1" ht="15.75">
      <c r="A40" s="141" t="s">
        <v>9</v>
      </c>
      <c r="B40" s="150">
        <f>B12/B3</f>
        <v>0.033003300330033</v>
      </c>
      <c r="C40" s="150">
        <f aca="true" t="shared" si="8" ref="C40:R40">C12/C3</f>
        <v>0.021122112211221122</v>
      </c>
      <c r="D40" s="150">
        <f t="shared" si="8"/>
        <v>0.019801980198019802</v>
      </c>
      <c r="E40" s="150">
        <f t="shared" si="8"/>
        <v>0.019801980198019802</v>
      </c>
      <c r="F40" s="150">
        <f t="shared" si="8"/>
        <v>0.019801980198019802</v>
      </c>
      <c r="G40" s="150">
        <f t="shared" si="8"/>
        <v>0.025082508250825083</v>
      </c>
      <c r="H40" s="150">
        <f t="shared" si="8"/>
        <v>0.036963696369636964</v>
      </c>
      <c r="I40" s="150">
        <f t="shared" si="8"/>
        <v>0.0462046204620462</v>
      </c>
      <c r="J40" s="150">
        <f t="shared" si="8"/>
        <v>0.05148514851485148</v>
      </c>
      <c r="K40" s="150">
        <f t="shared" si="8"/>
        <v>0.07524752475247524</v>
      </c>
      <c r="L40" s="150">
        <f t="shared" si="8"/>
        <v>0.09504950495049505</v>
      </c>
      <c r="M40" s="150">
        <f t="shared" si="8"/>
        <v>0.0858085808580858</v>
      </c>
      <c r="N40" s="150">
        <f t="shared" si="8"/>
        <v>0.10033003300330033</v>
      </c>
      <c r="O40" s="150">
        <f t="shared" si="8"/>
        <v>0.29180337388577565</v>
      </c>
      <c r="P40" s="150">
        <f t="shared" si="8"/>
        <v>0.09800288286168146</v>
      </c>
      <c r="Q40" s="150">
        <f t="shared" si="8"/>
        <v>0.219592851960973</v>
      </c>
      <c r="R40" s="150">
        <f t="shared" si="8"/>
        <v>0.44920117952554905</v>
      </c>
      <c r="S40" s="150">
        <f aca="true" t="shared" si="9" ref="S40:AH40">S12/S3</f>
        <v>0.9892432566582523</v>
      </c>
      <c r="T40" s="150">
        <f t="shared" si="9"/>
        <v>1.2737402490684724</v>
      </c>
      <c r="U40" s="150">
        <f t="shared" si="9"/>
        <v>2.1791280595956013</v>
      </c>
      <c r="V40" s="150">
        <f t="shared" si="9"/>
        <v>0.5769748137637459</v>
      </c>
      <c r="W40" s="150">
        <f t="shared" si="9"/>
        <v>0.6112321186072884</v>
      </c>
      <c r="X40" s="150">
        <f t="shared" si="9"/>
        <v>0.4098416444327534</v>
      </c>
      <c r="Y40" s="150">
        <f t="shared" si="9"/>
        <v>0.269280110916244</v>
      </c>
      <c r="Z40" s="150">
        <f t="shared" si="9"/>
        <v>0.2772795036754166</v>
      </c>
      <c r="AA40" s="150">
        <f t="shared" si="9"/>
        <v>0.2922780418665503</v>
      </c>
      <c r="AB40" s="150">
        <f t="shared" si="9"/>
        <v>0.23281961590441902</v>
      </c>
      <c r="AC40" s="150">
        <f t="shared" si="9"/>
        <v>0.14580675397713957</v>
      </c>
      <c r="AD40" s="150">
        <f t="shared" si="9"/>
        <v>0.10556649262461126</v>
      </c>
      <c r="AE40" s="150">
        <f t="shared" si="9"/>
        <v>0.6052464320795055</v>
      </c>
      <c r="AF40" s="150">
        <f t="shared" si="9"/>
        <v>1.2889246923525652</v>
      </c>
      <c r="AG40" s="150">
        <f t="shared" si="9"/>
        <v>2.1512122977636357</v>
      </c>
      <c r="AH40" s="150">
        <f t="shared" si="9"/>
        <v>6.8257746707372835</v>
      </c>
      <c r="AI40" s="150">
        <f>AI12/AI3</f>
        <v>8.390798302067642</v>
      </c>
      <c r="AJ40" s="150">
        <f>AJ12/AJ3</f>
        <v>0.9269983107502736</v>
      </c>
      <c r="AK40" s="150">
        <f>AK12/AK3</f>
        <v>0.47040823327615783</v>
      </c>
      <c r="AL40" s="150">
        <f>AL12/AL3</f>
        <v>0.6537620600858369</v>
      </c>
      <c r="AM40" s="135"/>
      <c r="AN40" s="135"/>
      <c r="AO40" s="135"/>
      <c r="AP40" s="135"/>
      <c r="AQ40" s="135"/>
      <c r="AR40" s="135"/>
      <c r="AS40" s="135"/>
    </row>
    <row r="41" spans="1:45" s="136" customFormat="1" ht="15.75">
      <c r="A41" s="141" t="s">
        <v>10</v>
      </c>
      <c r="B41" s="150">
        <f>B13/B3</f>
        <v>0.019801980198019802</v>
      </c>
      <c r="C41" s="150">
        <f aca="true" t="shared" si="10" ref="C41:R41">C13/C3</f>
        <v>0.03036303630363036</v>
      </c>
      <c r="D41" s="150">
        <f t="shared" si="10"/>
        <v>0.029042904290429047</v>
      </c>
      <c r="E41" s="150">
        <f t="shared" si="10"/>
        <v>0.025082508250825083</v>
      </c>
      <c r="F41" s="150">
        <f t="shared" si="10"/>
        <v>0.022442244224422443</v>
      </c>
      <c r="G41" s="150">
        <f t="shared" si="10"/>
        <v>0.018481848184818482</v>
      </c>
      <c r="H41" s="150">
        <f t="shared" si="10"/>
        <v>0.026402640264026403</v>
      </c>
      <c r="I41" s="150">
        <f t="shared" si="10"/>
        <v>0.019801980198019802</v>
      </c>
      <c r="J41" s="150">
        <f t="shared" si="10"/>
        <v>0.033003300330033</v>
      </c>
      <c r="K41" s="150">
        <f t="shared" si="10"/>
        <v>0.04356435643564356</v>
      </c>
      <c r="L41" s="150">
        <f t="shared" si="10"/>
        <v>0.044884488448844885</v>
      </c>
      <c r="M41" s="150">
        <f t="shared" si="10"/>
        <v>0.034323432343234324</v>
      </c>
      <c r="N41" s="150">
        <f t="shared" si="10"/>
        <v>0.0594059405940594</v>
      </c>
      <c r="O41" s="150">
        <f t="shared" si="10"/>
        <v>0.09726779129525856</v>
      </c>
      <c r="P41" s="150">
        <f t="shared" si="10"/>
        <v>0.3510103253515326</v>
      </c>
      <c r="Q41" s="150">
        <f t="shared" si="10"/>
        <v>0.6009733058940231</v>
      </c>
      <c r="R41" s="150">
        <f t="shared" si="10"/>
        <v>0.7209682672417588</v>
      </c>
      <c r="S41" s="150">
        <f aca="true" t="shared" si="11" ref="S41:AH41">S13/S3</f>
        <v>0.9799444082026265</v>
      </c>
      <c r="T41" s="150">
        <f t="shared" si="11"/>
        <v>1.6089316124279218</v>
      </c>
      <c r="U41" s="150">
        <f t="shared" si="11"/>
        <v>0.23601674352607313</v>
      </c>
      <c r="V41" s="150">
        <f t="shared" si="11"/>
        <v>0.9290659098971268</v>
      </c>
      <c r="W41" s="150">
        <f t="shared" si="11"/>
        <v>0.05600078399529603</v>
      </c>
      <c r="X41" s="150">
        <f t="shared" si="11"/>
        <v>0.0999962421554996</v>
      </c>
      <c r="Y41" s="150">
        <f t="shared" si="11"/>
        <v>0.1800042660093852</v>
      </c>
      <c r="Z41" s="150">
        <f t="shared" si="11"/>
        <v>0.1739980046100389</v>
      </c>
      <c r="AA41" s="150">
        <f t="shared" si="11"/>
        <v>0.10690667248146532</v>
      </c>
      <c r="AB41" s="150">
        <f t="shared" si="11"/>
        <v>0.06599925043440734</v>
      </c>
      <c r="AC41" s="150">
        <f t="shared" si="11"/>
        <v>0.044997656677168235</v>
      </c>
      <c r="AD41" s="150">
        <f t="shared" si="11"/>
        <v>0.06300179748352307</v>
      </c>
      <c r="AE41" s="150">
        <f t="shared" si="11"/>
        <v>0.0780022534234703</v>
      </c>
      <c r="AF41" s="150">
        <f t="shared" si="11"/>
        <v>0.1430635573210367</v>
      </c>
      <c r="AG41" s="150">
        <f t="shared" si="11"/>
        <v>0.12500186737178626</v>
      </c>
      <c r="AH41" s="150">
        <f t="shared" si="11"/>
        <v>0.21799035440909695</v>
      </c>
      <c r="AI41" s="150">
        <f>AI13/AI3</f>
        <v>0.11000502076772103</v>
      </c>
      <c r="AJ41" s="150">
        <f>AJ13/AJ3</f>
        <v>0.06699987790751707</v>
      </c>
      <c r="AK41" s="150">
        <f>AK13/AK3</f>
        <v>0.043</v>
      </c>
      <c r="AL41" s="150">
        <f>AL13/AL3</f>
        <v>0.035</v>
      </c>
      <c r="AM41" s="135"/>
      <c r="AN41" s="135"/>
      <c r="AO41" s="135"/>
      <c r="AP41" s="135"/>
      <c r="AQ41" s="135"/>
      <c r="AR41" s="135"/>
      <c r="AS41" s="135"/>
    </row>
    <row r="42" spans="1:45" s="136" customFormat="1" ht="15.75">
      <c r="A42" s="137" t="s">
        <v>11</v>
      </c>
      <c r="B42" s="138">
        <f aca="true" t="shared" si="12" ref="B42:Q42">B43+B44</f>
        <v>0.1293729372937294</v>
      </c>
      <c r="C42" s="138">
        <f t="shared" si="12"/>
        <v>0.1570957095709571</v>
      </c>
      <c r="D42" s="138">
        <f t="shared" si="12"/>
        <v>0.1636963696369637</v>
      </c>
      <c r="E42" s="138">
        <f t="shared" si="12"/>
        <v>0.18745874587458744</v>
      </c>
      <c r="F42" s="138">
        <f t="shared" si="12"/>
        <v>0.20858085808580856</v>
      </c>
      <c r="G42" s="138">
        <f t="shared" si="12"/>
        <v>0.23366336633663365</v>
      </c>
      <c r="H42" s="138">
        <f t="shared" si="12"/>
        <v>0.333993399339934</v>
      </c>
      <c r="I42" s="138">
        <f t="shared" si="12"/>
        <v>0.3102310231023102</v>
      </c>
      <c r="J42" s="138">
        <f t="shared" si="12"/>
        <v>0.3603960396039604</v>
      </c>
      <c r="K42" s="138">
        <f t="shared" si="12"/>
        <v>0.5095709570957095</v>
      </c>
      <c r="L42" s="138">
        <f t="shared" si="12"/>
        <v>0.5993399339933994</v>
      </c>
      <c r="M42" s="138">
        <f t="shared" si="12"/>
        <v>0.6547854785478548</v>
      </c>
      <c r="N42" s="138">
        <f t="shared" si="12"/>
        <v>0.7801980198019802</v>
      </c>
      <c r="O42" s="138">
        <f t="shared" si="12"/>
        <v>0.8507302343137539</v>
      </c>
      <c r="P42" s="138">
        <f t="shared" si="12"/>
        <v>1.0450307407189503</v>
      </c>
      <c r="Q42" s="138">
        <f t="shared" si="12"/>
        <v>1.496452043883156</v>
      </c>
      <c r="R42" s="138">
        <f aca="true" t="shared" si="13" ref="R42:AG42">R43+R44</f>
        <v>2.162067109722283</v>
      </c>
      <c r="S42" s="138">
        <f t="shared" si="13"/>
        <v>2.7934259012394707</v>
      </c>
      <c r="T42" s="138">
        <f t="shared" si="13"/>
        <v>4.384383435104771</v>
      </c>
      <c r="U42" s="138">
        <f t="shared" si="13"/>
        <v>6.14470549840369</v>
      </c>
      <c r="V42" s="138">
        <f t="shared" si="13"/>
        <v>1.9608882582476057</v>
      </c>
      <c r="W42" s="138">
        <f t="shared" si="13"/>
        <v>1.3082680003919978</v>
      </c>
      <c r="X42" s="138">
        <f t="shared" si="13"/>
        <v>0.9881856375183193</v>
      </c>
      <c r="Y42" s="138">
        <f t="shared" si="13"/>
        <v>1.057207387306252</v>
      </c>
      <c r="Z42" s="138">
        <f t="shared" si="13"/>
        <v>1.3171749291865922</v>
      </c>
      <c r="AA42" s="138">
        <f t="shared" si="13"/>
        <v>1.1102471107719145</v>
      </c>
      <c r="AB42" s="138">
        <f t="shared" si="13"/>
        <v>1.1878144484446516</v>
      </c>
      <c r="AC42" s="138">
        <f t="shared" si="13"/>
        <v>0.9553048923373344</v>
      </c>
      <c r="AD42" s="138">
        <f t="shared" si="13"/>
        <v>1.035858369710976</v>
      </c>
      <c r="AE42" s="138">
        <f t="shared" si="13"/>
        <v>1.3031280695672274</v>
      </c>
      <c r="AF42" s="138">
        <f t="shared" si="13"/>
        <v>1.8412507291869218</v>
      </c>
      <c r="AG42" s="138">
        <f t="shared" si="13"/>
        <v>3.247593181852134</v>
      </c>
      <c r="AH42" s="138">
        <f>AH43+AH44</f>
        <v>5.802701945341653</v>
      </c>
      <c r="AI42" s="138">
        <f>AI43+AI44</f>
        <v>6.562999528352123</v>
      </c>
      <c r="AJ42" s="138">
        <f>AJ43+AJ44</f>
        <v>1.9892601438504567</v>
      </c>
      <c r="AK42" s="138">
        <f>AK43+AK44</f>
        <v>1.9513774728416238</v>
      </c>
      <c r="AL42" s="138">
        <f>AL43+AL44</f>
        <v>1.7747838054363376</v>
      </c>
      <c r="AM42" s="135"/>
      <c r="AN42" s="135"/>
      <c r="AO42" s="135"/>
      <c r="AP42" s="135"/>
      <c r="AQ42" s="135"/>
      <c r="AR42" s="135"/>
      <c r="AS42" s="135"/>
    </row>
    <row r="43" spans="1:45" s="136" customFormat="1" ht="15.75">
      <c r="A43" s="143" t="s">
        <v>7</v>
      </c>
      <c r="B43" s="149">
        <f>B15/B3</f>
        <v>0.07788778877887789</v>
      </c>
      <c r="C43" s="149">
        <f aca="true" t="shared" si="14" ref="C43:R43">C15/C3</f>
        <v>0.0910891089108911</v>
      </c>
      <c r="D43" s="149">
        <f t="shared" si="14"/>
        <v>0.10033003300330033</v>
      </c>
      <c r="E43" s="149">
        <f t="shared" si="14"/>
        <v>0.11485148514851484</v>
      </c>
      <c r="F43" s="149">
        <f t="shared" si="14"/>
        <v>0.12805280528052804</v>
      </c>
      <c r="G43" s="149">
        <f t="shared" si="14"/>
        <v>0.14653465346534653</v>
      </c>
      <c r="H43" s="149">
        <f t="shared" si="14"/>
        <v>0.16237623762376238</v>
      </c>
      <c r="I43" s="149">
        <f t="shared" si="14"/>
        <v>0.1834983498349835</v>
      </c>
      <c r="J43" s="149">
        <f t="shared" si="14"/>
        <v>0.21914191419141915</v>
      </c>
      <c r="K43" s="149">
        <f t="shared" si="14"/>
        <v>0.27326732673267323</v>
      </c>
      <c r="L43" s="149">
        <f t="shared" si="14"/>
        <v>0.3432343234323432</v>
      </c>
      <c r="M43" s="149">
        <f t="shared" si="14"/>
        <v>0.4052805280528053</v>
      </c>
      <c r="N43" s="149">
        <f t="shared" si="14"/>
        <v>0.46864686468646866</v>
      </c>
      <c r="O43" s="149">
        <f t="shared" si="14"/>
        <v>0.6155454255102929</v>
      </c>
      <c r="P43" s="149">
        <f t="shared" si="14"/>
        <v>0.6710197387774313</v>
      </c>
      <c r="Q43" s="149">
        <f t="shared" si="14"/>
        <v>0.7669659328131708</v>
      </c>
      <c r="R43" s="149">
        <f t="shared" si="14"/>
        <v>0.671970423836979</v>
      </c>
      <c r="S43" s="149">
        <f aca="true" t="shared" si="15" ref="S43:AH43">S15/S3</f>
        <v>0.6699619933630202</v>
      </c>
      <c r="T43" s="149">
        <f t="shared" si="15"/>
        <v>0.6839709278438152</v>
      </c>
      <c r="U43" s="149">
        <f t="shared" si="15"/>
        <v>0.7800553387726145</v>
      </c>
      <c r="V43" s="149">
        <f t="shared" si="15"/>
        <v>0.797056544874069</v>
      </c>
      <c r="W43" s="149">
        <f t="shared" si="15"/>
        <v>0.3980055719665682</v>
      </c>
      <c r="X43" s="149">
        <f t="shared" si="15"/>
        <v>0.2749896659276239</v>
      </c>
      <c r="Y43" s="149">
        <f t="shared" si="15"/>
        <v>0.22700537991183578</v>
      </c>
      <c r="Z43" s="149">
        <f t="shared" si="15"/>
        <v>0.18399788993245494</v>
      </c>
      <c r="AA43" s="149">
        <f t="shared" si="15"/>
        <v>0.14287527256868732</v>
      </c>
      <c r="AB43" s="149">
        <f t="shared" si="15"/>
        <v>0.09999886429455655</v>
      </c>
      <c r="AC43" s="149">
        <f t="shared" si="15"/>
        <v>0.0659965631265134</v>
      </c>
      <c r="AD43" s="149">
        <f t="shared" si="15"/>
        <v>0.06600188307797654</v>
      </c>
      <c r="AE43" s="149">
        <f t="shared" si="15"/>
        <v>0.08200236898364825</v>
      </c>
      <c r="AF43" s="149">
        <f t="shared" si="15"/>
        <v>0.1040462235062085</v>
      </c>
      <c r="AG43" s="149">
        <f t="shared" si="15"/>
        <v>0.07800116523999462</v>
      </c>
      <c r="AH43" s="149">
        <f t="shared" si="15"/>
        <v>0.08499623910446441</v>
      </c>
      <c r="AI43" s="149">
        <f>AI15/AI3</f>
        <v>0.1570071660048382</v>
      </c>
      <c r="AJ43" s="149">
        <f>AJ15/AJ3</f>
        <v>0.14299973941455135</v>
      </c>
      <c r="AK43" s="149">
        <f>AK15/AK3</f>
        <v>0.413</v>
      </c>
      <c r="AL43" s="149">
        <f>AL15/AL3</f>
        <v>0.794</v>
      </c>
      <c r="AM43" s="135"/>
      <c r="AN43" s="135"/>
      <c r="AO43" s="135"/>
      <c r="AP43" s="135"/>
      <c r="AQ43" s="135"/>
      <c r="AR43" s="135"/>
      <c r="AS43" s="135"/>
    </row>
    <row r="44" spans="1:45" s="136" customFormat="1" ht="15.75">
      <c r="A44" s="143" t="s">
        <v>8</v>
      </c>
      <c r="B44" s="140">
        <f aca="true" t="shared" si="16" ref="B44:Q44">B45+B46</f>
        <v>0.05148514851485149</v>
      </c>
      <c r="C44" s="140">
        <f t="shared" si="16"/>
        <v>0.066006600660066</v>
      </c>
      <c r="D44" s="140">
        <f t="shared" si="16"/>
        <v>0.06336633663366337</v>
      </c>
      <c r="E44" s="140">
        <f t="shared" si="16"/>
        <v>0.0726072607260726</v>
      </c>
      <c r="F44" s="140">
        <f t="shared" si="16"/>
        <v>0.08052805280528053</v>
      </c>
      <c r="G44" s="140">
        <f t="shared" si="16"/>
        <v>0.08712871287128712</v>
      </c>
      <c r="H44" s="140">
        <f t="shared" si="16"/>
        <v>0.1716171617161716</v>
      </c>
      <c r="I44" s="140">
        <f t="shared" si="16"/>
        <v>0.12673267326732673</v>
      </c>
      <c r="J44" s="140">
        <f t="shared" si="16"/>
        <v>0.14125412541254126</v>
      </c>
      <c r="K44" s="140">
        <f t="shared" si="16"/>
        <v>0.2363036303630363</v>
      </c>
      <c r="L44" s="140">
        <f t="shared" si="16"/>
        <v>0.2561056105610561</v>
      </c>
      <c r="M44" s="140">
        <f t="shared" si="16"/>
        <v>0.2495049504950495</v>
      </c>
      <c r="N44" s="140">
        <f t="shared" si="16"/>
        <v>0.31155115511551157</v>
      </c>
      <c r="O44" s="140">
        <f t="shared" si="16"/>
        <v>0.235184808803461</v>
      </c>
      <c r="P44" s="140">
        <f t="shared" si="16"/>
        <v>0.37401100194151904</v>
      </c>
      <c r="Q44" s="140">
        <f t="shared" si="16"/>
        <v>0.7294861110699852</v>
      </c>
      <c r="R44" s="140">
        <f aca="true" t="shared" si="17" ref="R44:AG44">R45+R46</f>
        <v>1.4900966858853042</v>
      </c>
      <c r="S44" s="140">
        <f t="shared" si="17"/>
        <v>2.1234639078764506</v>
      </c>
      <c r="T44" s="140">
        <f t="shared" si="17"/>
        <v>3.7004125072609555</v>
      </c>
      <c r="U44" s="140">
        <f t="shared" si="17"/>
        <v>5.364650159631076</v>
      </c>
      <c r="V44" s="140">
        <f t="shared" si="17"/>
        <v>1.1638317133735367</v>
      </c>
      <c r="W44" s="140">
        <f t="shared" si="17"/>
        <v>0.9102624284254295</v>
      </c>
      <c r="X44" s="140">
        <f t="shared" si="17"/>
        <v>0.7131959715906955</v>
      </c>
      <c r="Y44" s="140">
        <f t="shared" si="17"/>
        <v>0.8302020073944162</v>
      </c>
      <c r="Z44" s="140">
        <f t="shared" si="17"/>
        <v>1.1331770392541372</v>
      </c>
      <c r="AA44" s="140">
        <f t="shared" si="17"/>
        <v>0.9673718382032271</v>
      </c>
      <c r="AB44" s="140">
        <f t="shared" si="17"/>
        <v>1.087815584150095</v>
      </c>
      <c r="AC44" s="140">
        <f t="shared" si="17"/>
        <v>0.889308329210821</v>
      </c>
      <c r="AD44" s="140">
        <f t="shared" si="17"/>
        <v>0.9698564866329995</v>
      </c>
      <c r="AE44" s="140">
        <f t="shared" si="17"/>
        <v>1.2211257005835792</v>
      </c>
      <c r="AF44" s="140">
        <f t="shared" si="17"/>
        <v>1.7372045056807133</v>
      </c>
      <c r="AG44" s="140">
        <f t="shared" si="17"/>
        <v>3.1695920166121394</v>
      </c>
      <c r="AH44" s="140">
        <f>AH45+AH46</f>
        <v>5.717705706237188</v>
      </c>
      <c r="AI44" s="140">
        <f>AI45+AI46</f>
        <v>6.405992362347285</v>
      </c>
      <c r="AJ44" s="140">
        <f>AJ45+AJ46</f>
        <v>1.8462604044359054</v>
      </c>
      <c r="AK44" s="140">
        <f>AK45+AK46</f>
        <v>1.5383774728416237</v>
      </c>
      <c r="AL44" s="140">
        <f>AL45+AL46</f>
        <v>0.9807838054363376</v>
      </c>
      <c r="AM44" s="135"/>
      <c r="AN44" s="135"/>
      <c r="AO44" s="135"/>
      <c r="AP44" s="135"/>
      <c r="AQ44" s="135"/>
      <c r="AR44" s="135"/>
      <c r="AS44" s="135"/>
    </row>
    <row r="45" spans="1:45" s="136" customFormat="1" ht="15.75">
      <c r="A45" s="141" t="s">
        <v>9</v>
      </c>
      <c r="B45" s="150">
        <f>B17/B3</f>
        <v>0.03564356435643565</v>
      </c>
      <c r="C45" s="150">
        <f aca="true" t="shared" si="18" ref="C45:R45">C17/C3</f>
        <v>0.022442244224422443</v>
      </c>
      <c r="D45" s="150">
        <f t="shared" si="18"/>
        <v>0.022442244224422443</v>
      </c>
      <c r="E45" s="150">
        <f t="shared" si="18"/>
        <v>0.03828382838283828</v>
      </c>
      <c r="F45" s="150">
        <f t="shared" si="18"/>
        <v>0.04092409240924093</v>
      </c>
      <c r="G45" s="150">
        <f t="shared" si="18"/>
        <v>0.042244224422442245</v>
      </c>
      <c r="H45" s="150">
        <f t="shared" si="18"/>
        <v>0.0924092409240924</v>
      </c>
      <c r="I45" s="150">
        <f t="shared" si="18"/>
        <v>0.08052805280528053</v>
      </c>
      <c r="J45" s="150">
        <f t="shared" si="18"/>
        <v>0.0646864686468647</v>
      </c>
      <c r="K45" s="150">
        <f t="shared" si="18"/>
        <v>0.11353135313531353</v>
      </c>
      <c r="L45" s="150">
        <f t="shared" si="18"/>
        <v>0.1570957095709571</v>
      </c>
      <c r="M45" s="150">
        <f t="shared" si="18"/>
        <v>0.15841584158415842</v>
      </c>
      <c r="N45" s="150">
        <f t="shared" si="18"/>
        <v>0.17557755775577558</v>
      </c>
      <c r="O45" s="150">
        <f t="shared" si="18"/>
        <v>0.09436427513719113</v>
      </c>
      <c r="P45" s="150">
        <f t="shared" si="18"/>
        <v>0.06400188268517973</v>
      </c>
      <c r="Q45" s="150">
        <f t="shared" si="18"/>
        <v>0.11551338258590824</v>
      </c>
      <c r="R45" s="150">
        <f t="shared" si="18"/>
        <v>0.23915174508164252</v>
      </c>
      <c r="S45" s="150">
        <f aca="true" t="shared" si="19" ref="S45:AH45">S17/S3</f>
        <v>0.8675351561392064</v>
      </c>
      <c r="T45" s="150">
        <f t="shared" si="19"/>
        <v>1.4195094569513906</v>
      </c>
      <c r="U45" s="150">
        <f t="shared" si="19"/>
        <v>3.1004895352962043</v>
      </c>
      <c r="V45" s="150">
        <f t="shared" si="19"/>
        <v>0.4407804185881518</v>
      </c>
      <c r="W45" s="150">
        <f t="shared" si="19"/>
        <v>0.08725090649456103</v>
      </c>
      <c r="X45" s="150">
        <f t="shared" si="19"/>
        <v>0.07821983390327308</v>
      </c>
      <c r="Y45" s="150">
        <f t="shared" si="19"/>
        <v>0.06918397165473764</v>
      </c>
      <c r="Z45" s="150">
        <f t="shared" si="19"/>
        <v>0.0731891950780381</v>
      </c>
      <c r="AA45" s="150">
        <f t="shared" si="19"/>
        <v>0.06515945268207587</v>
      </c>
      <c r="AB45" s="150">
        <f t="shared" si="19"/>
        <v>0.20482561242916042</v>
      </c>
      <c r="AC45" s="150">
        <f t="shared" si="19"/>
        <v>0.24634181269039498</v>
      </c>
      <c r="AD45" s="150">
        <f t="shared" si="19"/>
        <v>0.15483323347313763</v>
      </c>
      <c r="AE45" s="150">
        <f t="shared" si="19"/>
        <v>0.17809556826717513</v>
      </c>
      <c r="AF45" s="150">
        <f t="shared" si="19"/>
        <v>0.31157115475429875</v>
      </c>
      <c r="AG45" s="150">
        <f t="shared" si="19"/>
        <v>1.9315735221619683</v>
      </c>
      <c r="AH45" s="150">
        <f t="shared" si="19"/>
        <v>4.150775039452532</v>
      </c>
      <c r="AI45" s="150">
        <f>AI17/AI3</f>
        <v>4.853921523879076</v>
      </c>
      <c r="AJ45" s="150">
        <f>AJ17/AJ3</f>
        <v>0.8742621756880459</v>
      </c>
      <c r="AK45" s="150">
        <f>AK17/AK3</f>
        <v>0.8563774728416238</v>
      </c>
      <c r="AL45" s="150">
        <f>AL17/AL3</f>
        <v>0.25578380543633766</v>
      </c>
      <c r="AM45" s="135"/>
      <c r="AN45" s="135"/>
      <c r="AO45" s="135"/>
      <c r="AP45" s="135"/>
      <c r="AQ45" s="135"/>
      <c r="AR45" s="135"/>
      <c r="AS45" s="135"/>
    </row>
    <row r="46" spans="1:45" s="136" customFormat="1" ht="15.75">
      <c r="A46" s="141" t="s">
        <v>10</v>
      </c>
      <c r="B46" s="150">
        <f>B18/B3</f>
        <v>0.015841584158415842</v>
      </c>
      <c r="C46" s="150">
        <f aca="true" t="shared" si="20" ref="C46:R46">C18/C3</f>
        <v>0.04356435643564356</v>
      </c>
      <c r="D46" s="150">
        <f t="shared" si="20"/>
        <v>0.04092409240924093</v>
      </c>
      <c r="E46" s="150">
        <f t="shared" si="20"/>
        <v>0.034323432343234324</v>
      </c>
      <c r="F46" s="150">
        <f t="shared" si="20"/>
        <v>0.039603960396039604</v>
      </c>
      <c r="G46" s="150">
        <f t="shared" si="20"/>
        <v>0.044884488448844885</v>
      </c>
      <c r="H46" s="150">
        <f t="shared" si="20"/>
        <v>0.07920792079207921</v>
      </c>
      <c r="I46" s="150">
        <f t="shared" si="20"/>
        <v>0.0462046204620462</v>
      </c>
      <c r="J46" s="150">
        <f t="shared" si="20"/>
        <v>0.07656765676567656</v>
      </c>
      <c r="K46" s="150">
        <f t="shared" si="20"/>
        <v>0.12277227722772278</v>
      </c>
      <c r="L46" s="150">
        <f t="shared" si="20"/>
        <v>0.09900990099009901</v>
      </c>
      <c r="M46" s="150">
        <f t="shared" si="20"/>
        <v>0.0910891089108911</v>
      </c>
      <c r="N46" s="150">
        <f t="shared" si="20"/>
        <v>0.135973597359736</v>
      </c>
      <c r="O46" s="150">
        <f t="shared" si="20"/>
        <v>0.14082053366626984</v>
      </c>
      <c r="P46" s="150">
        <f t="shared" si="20"/>
        <v>0.31000911925633934</v>
      </c>
      <c r="Q46" s="150">
        <f t="shared" si="20"/>
        <v>0.6139727284840769</v>
      </c>
      <c r="R46" s="150">
        <f t="shared" si="20"/>
        <v>1.2509449408036617</v>
      </c>
      <c r="S46" s="150">
        <f aca="true" t="shared" si="21" ref="S46:AH46">S18/S3</f>
        <v>1.255928751737244</v>
      </c>
      <c r="T46" s="150">
        <f t="shared" si="21"/>
        <v>2.280903050309565</v>
      </c>
      <c r="U46" s="150">
        <f t="shared" si="21"/>
        <v>2.264160624334871</v>
      </c>
      <c r="V46" s="150">
        <f t="shared" si="21"/>
        <v>0.723051294785385</v>
      </c>
      <c r="W46" s="150">
        <f t="shared" si="21"/>
        <v>0.8230115219308685</v>
      </c>
      <c r="X46" s="150">
        <f t="shared" si="21"/>
        <v>0.6349761376874224</v>
      </c>
      <c r="Y46" s="150">
        <f t="shared" si="21"/>
        <v>0.7610180357396785</v>
      </c>
      <c r="Z46" s="150">
        <f t="shared" si="21"/>
        <v>1.059987844176099</v>
      </c>
      <c r="AA46" s="150">
        <f t="shared" si="21"/>
        <v>0.9022123855211512</v>
      </c>
      <c r="AB46" s="150">
        <f t="shared" si="21"/>
        <v>0.8829899717209344</v>
      </c>
      <c r="AC46" s="150">
        <f t="shared" si="21"/>
        <v>0.642966516520426</v>
      </c>
      <c r="AD46" s="150">
        <f t="shared" si="21"/>
        <v>0.8150232531598619</v>
      </c>
      <c r="AE46" s="150">
        <f t="shared" si="21"/>
        <v>1.043030132316404</v>
      </c>
      <c r="AF46" s="150">
        <f t="shared" si="21"/>
        <v>1.4256333509264145</v>
      </c>
      <c r="AG46" s="150">
        <f t="shared" si="21"/>
        <v>1.238018494450171</v>
      </c>
      <c r="AH46" s="150">
        <f t="shared" si="21"/>
        <v>1.5669306667846556</v>
      </c>
      <c r="AI46" s="150">
        <f>AI18/AI3</f>
        <v>1.5520708384682094</v>
      </c>
      <c r="AJ46" s="150">
        <f>AJ18/AJ3</f>
        <v>0.9719982287478596</v>
      </c>
      <c r="AK46" s="150">
        <f>AK18/AK3</f>
        <v>0.6819999999999999</v>
      </c>
      <c r="AL46" s="150">
        <f>AL18/AL3</f>
        <v>0.725</v>
      </c>
      <c r="AM46" s="135"/>
      <c r="AN46" s="135"/>
      <c r="AO46" s="135"/>
      <c r="AP46" s="135"/>
      <c r="AQ46" s="135"/>
      <c r="AR46" s="135"/>
      <c r="AS46" s="135"/>
    </row>
    <row r="47" spans="1:45" s="136" customFormat="1" ht="16.5" thickBot="1">
      <c r="A47" s="144" t="s">
        <v>12</v>
      </c>
      <c r="B47" s="145">
        <f aca="true" t="shared" si="22" ref="B47:Q47">B37-B42</f>
        <v>-0.07524752475247527</v>
      </c>
      <c r="C47" s="145">
        <f t="shared" si="22"/>
        <v>-0.10429042904290428</v>
      </c>
      <c r="D47" s="145">
        <f t="shared" si="22"/>
        <v>-0.11353135313531354</v>
      </c>
      <c r="E47" s="145">
        <f t="shared" si="22"/>
        <v>-0.13993399339933993</v>
      </c>
      <c r="F47" s="145">
        <f t="shared" si="22"/>
        <v>-0.16369636963696368</v>
      </c>
      <c r="G47" s="145">
        <f t="shared" si="22"/>
        <v>-0.18745874587458744</v>
      </c>
      <c r="H47" s="145">
        <f t="shared" si="22"/>
        <v>-0.2627062706270627</v>
      </c>
      <c r="I47" s="145">
        <f t="shared" si="22"/>
        <v>-0.2376237623762376</v>
      </c>
      <c r="J47" s="145">
        <f t="shared" si="22"/>
        <v>-0.2706270627062706</v>
      </c>
      <c r="K47" s="145">
        <f t="shared" si="22"/>
        <v>-0.3828382838283828</v>
      </c>
      <c r="L47" s="145">
        <f t="shared" si="22"/>
        <v>-0.44752475247524753</v>
      </c>
      <c r="M47" s="145">
        <f t="shared" si="22"/>
        <v>-0.5267326732673268</v>
      </c>
      <c r="N47" s="145">
        <f t="shared" si="22"/>
        <v>-0.6085808580858085</v>
      </c>
      <c r="O47" s="145">
        <f t="shared" si="22"/>
        <v>-0.42681687523591066</v>
      </c>
      <c r="P47" s="145">
        <f t="shared" si="22"/>
        <v>-0.5330156792375125</v>
      </c>
      <c r="Q47" s="145">
        <f t="shared" si="22"/>
        <v>-0.16890840501606386</v>
      </c>
      <c r="R47" s="145">
        <f aca="true" t="shared" si="23" ref="R47:AG47">R37-R42</f>
        <v>-0.22593137625984738</v>
      </c>
      <c r="S47" s="145">
        <f t="shared" si="23"/>
        <v>-0.2142728394361404</v>
      </c>
      <c r="T47" s="145">
        <f t="shared" si="23"/>
        <v>-0.7327442585325081</v>
      </c>
      <c r="U47" s="145">
        <f t="shared" si="23"/>
        <v>-2.6294826534232003</v>
      </c>
      <c r="V47" s="145">
        <f t="shared" si="23"/>
        <v>0.7852404398722954</v>
      </c>
      <c r="W47" s="145">
        <f t="shared" si="23"/>
        <v>0.36297895812625125</v>
      </c>
      <c r="X47" s="145">
        <f t="shared" si="23"/>
        <v>0.416618616361655</v>
      </c>
      <c r="Y47" s="145">
        <f t="shared" si="23"/>
        <v>0.004091494051286837</v>
      </c>
      <c r="Z47" s="145">
        <f t="shared" si="23"/>
        <v>-0.07090653776906253</v>
      </c>
      <c r="AA47" s="145">
        <f t="shared" si="23"/>
        <v>-0.11758049498473622</v>
      </c>
      <c r="AB47" s="145">
        <f t="shared" si="23"/>
        <v>-0.49600004542821785</v>
      </c>
      <c r="AC47" s="145">
        <f t="shared" si="23"/>
        <v>-0.3995194886348843</v>
      </c>
      <c r="AD47" s="145">
        <f t="shared" si="23"/>
        <v>-0.6612842021170361</v>
      </c>
      <c r="AE47" s="145">
        <f t="shared" si="23"/>
        <v>-0.3968729415843302</v>
      </c>
      <c r="AF47" s="145">
        <f t="shared" si="23"/>
        <v>-0.05710603072307574</v>
      </c>
      <c r="AG47" s="145">
        <f t="shared" si="23"/>
        <v>-0.5153722045444358</v>
      </c>
      <c r="AH47" s="145">
        <f>AH37-AH42</f>
        <v>1.4540536554429737</v>
      </c>
      <c r="AI47" s="145">
        <f>AI37-AI42</f>
        <v>2.2248168941226583</v>
      </c>
      <c r="AJ47" s="145">
        <f>AJ37-AJ42</f>
        <v>-0.8442622303563216</v>
      </c>
      <c r="AK47" s="145">
        <f>AK37-AK42</f>
        <v>-1.295969239565466</v>
      </c>
      <c r="AL47" s="145">
        <f>AL37-AL42</f>
        <v>-0.7700217453505007</v>
      </c>
      <c r="AM47" s="135"/>
      <c r="AN47" s="135"/>
      <c r="AO47" s="135"/>
      <c r="AP47" s="135"/>
      <c r="AQ47" s="135"/>
      <c r="AR47" s="135"/>
      <c r="AS47" s="135"/>
    </row>
    <row r="48" spans="1:45" s="136" customFormat="1" ht="17.25" thickBot="1" thickTop="1">
      <c r="A48" s="146"/>
      <c r="B48" s="147" t="s">
        <v>4</v>
      </c>
      <c r="C48" s="147" t="s">
        <v>4</v>
      </c>
      <c r="D48" s="147" t="s">
        <v>4</v>
      </c>
      <c r="E48" s="147" t="s">
        <v>4</v>
      </c>
      <c r="F48" s="147" t="s">
        <v>4</v>
      </c>
      <c r="G48" s="147" t="s">
        <v>4</v>
      </c>
      <c r="H48" s="147" t="s">
        <v>4</v>
      </c>
      <c r="I48" s="147" t="s">
        <v>4</v>
      </c>
      <c r="J48" s="147" t="s">
        <v>4</v>
      </c>
      <c r="K48" s="147" t="s">
        <v>4</v>
      </c>
      <c r="L48" s="147" t="s">
        <v>4</v>
      </c>
      <c r="M48" s="147" t="s">
        <v>4</v>
      </c>
      <c r="N48" s="147" t="s">
        <v>4</v>
      </c>
      <c r="O48" s="147" t="s">
        <v>4</v>
      </c>
      <c r="P48" s="147" t="s">
        <v>4</v>
      </c>
      <c r="Q48" s="147" t="s">
        <v>4</v>
      </c>
      <c r="R48" s="147" t="s">
        <v>4</v>
      </c>
      <c r="S48" s="147" t="s">
        <v>4</v>
      </c>
      <c r="T48" s="147" t="s">
        <v>4</v>
      </c>
      <c r="U48" s="147" t="s">
        <v>4</v>
      </c>
      <c r="V48" s="147" t="s">
        <v>4</v>
      </c>
      <c r="W48" s="147" t="s">
        <v>4</v>
      </c>
      <c r="X48" s="147" t="s">
        <v>4</v>
      </c>
      <c r="Y48" s="147" t="s">
        <v>4</v>
      </c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35"/>
      <c r="AN48" s="135"/>
      <c r="AO48" s="135"/>
      <c r="AP48" s="135"/>
      <c r="AQ48" s="135"/>
      <c r="AR48" s="135"/>
      <c r="AS48" s="135"/>
    </row>
    <row r="49" spans="1:45" s="136" customFormat="1" ht="16.5" thickTop="1">
      <c r="A49" s="137" t="s">
        <v>13</v>
      </c>
      <c r="B49" s="138">
        <f aca="true" t="shared" si="24" ref="B49:Q49">B50+B53</f>
        <v>0.5478547854785478</v>
      </c>
      <c r="C49" s="138">
        <f t="shared" si="24"/>
        <v>43000.01452145215</v>
      </c>
      <c r="D49" s="138">
        <f t="shared" si="24"/>
        <v>45100.01320132013</v>
      </c>
      <c r="E49" s="138">
        <f t="shared" si="24"/>
        <v>50600.01320132013</v>
      </c>
      <c r="F49" s="138">
        <f t="shared" si="24"/>
        <v>56300.01320132013</v>
      </c>
      <c r="G49" s="138">
        <f t="shared" si="24"/>
        <v>65300.02112211221</v>
      </c>
      <c r="H49" s="138">
        <f t="shared" si="24"/>
        <v>73700.0290429043</v>
      </c>
      <c r="I49" s="138">
        <f t="shared" si="24"/>
        <v>80800.0409240924</v>
      </c>
      <c r="J49" s="138">
        <f t="shared" si="24"/>
        <v>95800.04356435644</v>
      </c>
      <c r="K49" s="138">
        <f t="shared" si="24"/>
        <v>110000.05676567656</v>
      </c>
      <c r="L49" s="138">
        <f t="shared" si="24"/>
        <v>129200.05280528053</v>
      </c>
      <c r="M49" s="138">
        <f t="shared" si="24"/>
        <v>149400.05676567656</v>
      </c>
      <c r="N49" s="138">
        <f t="shared" si="24"/>
        <v>232300.1095709571</v>
      </c>
      <c r="O49" s="138">
        <f t="shared" si="24"/>
        <v>290800.1117853721</v>
      </c>
      <c r="P49" s="138">
        <f t="shared" si="24"/>
        <v>627000.2320068247</v>
      </c>
      <c r="Q49" s="138">
        <f t="shared" si="24"/>
        <v>1452300.3832893416</v>
      </c>
      <c r="R49" s="138">
        <f aca="true" t="shared" si="25" ref="R49:AG49">R50+R53</f>
        <v>1405200.5260644925</v>
      </c>
      <c r="S49" s="138">
        <f t="shared" si="25"/>
        <v>1739900.6787945656</v>
      </c>
      <c r="T49" s="138">
        <f t="shared" si="25"/>
        <v>1696300.8125584347</v>
      </c>
      <c r="U49" s="138">
        <f t="shared" si="25"/>
        <v>1243400.6837850302</v>
      </c>
      <c r="V49" s="138">
        <f t="shared" si="25"/>
        <v>1700400.0728705216</v>
      </c>
      <c r="W49" s="138">
        <f t="shared" si="25"/>
        <v>878700.062999622</v>
      </c>
      <c r="X49" s="138">
        <f t="shared" si="25"/>
        <v>941800.045094134</v>
      </c>
      <c r="Y49" s="138">
        <f t="shared" si="25"/>
        <v>1721300.0580651278</v>
      </c>
      <c r="Z49" s="138">
        <f t="shared" si="25"/>
        <v>1870600.0871549638</v>
      </c>
      <c r="AA49" s="138">
        <f t="shared" si="25"/>
        <v>1563400.074138683</v>
      </c>
      <c r="AB49" s="138">
        <f t="shared" si="25"/>
        <v>1244900.0715494428</v>
      </c>
      <c r="AC49" s="138">
        <f t="shared" si="25"/>
        <v>549200.0520738408</v>
      </c>
      <c r="AD49" s="138">
        <f t="shared" si="25"/>
        <v>832600.6619304402</v>
      </c>
      <c r="AE49" s="138">
        <f t="shared" si="25"/>
        <v>1503800.6855694228</v>
      </c>
      <c r="AF49" s="138">
        <f t="shared" si="25"/>
        <v>2746401.055743215</v>
      </c>
      <c r="AG49" s="138">
        <f t="shared" si="25"/>
        <v>5371401.16347122</v>
      </c>
      <c r="AH49" s="138">
        <f>AH50+AH53</f>
        <v>7280102.426028347</v>
      </c>
      <c r="AI49" s="138">
        <f>AI50+AI53</f>
        <v>9762801.576049417</v>
      </c>
      <c r="AJ49" s="138">
        <f>AJ50+AJ53</f>
        <v>22469900.098949578</v>
      </c>
      <c r="AK49" s="138">
        <f>AK50+AK53</f>
        <v>31730600.16375986</v>
      </c>
      <c r="AL49" s="138">
        <f>AL50+AL53</f>
        <v>0.3796635193133047</v>
      </c>
      <c r="AM49" s="135"/>
      <c r="AN49" s="135"/>
      <c r="AO49" s="135"/>
      <c r="AP49" s="135"/>
      <c r="AQ49" s="135"/>
      <c r="AR49" s="135"/>
      <c r="AS49" s="135"/>
    </row>
    <row r="50" spans="1:45" s="136" customFormat="1" ht="15.75">
      <c r="A50" s="143" t="s">
        <v>14</v>
      </c>
      <c r="B50" s="140">
        <f aca="true" t="shared" si="26" ref="B50:Q50">B51+B52</f>
        <v>0.5372937293729373</v>
      </c>
      <c r="C50" s="140">
        <f t="shared" si="26"/>
        <v>43000</v>
      </c>
      <c r="D50" s="140">
        <f t="shared" si="26"/>
        <v>45100</v>
      </c>
      <c r="E50" s="140">
        <f t="shared" si="26"/>
        <v>50600</v>
      </c>
      <c r="F50" s="140">
        <f t="shared" si="26"/>
        <v>56300</v>
      </c>
      <c r="G50" s="140">
        <f t="shared" si="26"/>
        <v>65300</v>
      </c>
      <c r="H50" s="140">
        <f t="shared" si="26"/>
        <v>73700</v>
      </c>
      <c r="I50" s="140">
        <f t="shared" si="26"/>
        <v>80800</v>
      </c>
      <c r="J50" s="140">
        <f t="shared" si="26"/>
        <v>95800</v>
      </c>
      <c r="K50" s="140">
        <f t="shared" si="26"/>
        <v>110000</v>
      </c>
      <c r="L50" s="140">
        <f t="shared" si="26"/>
        <v>129200</v>
      </c>
      <c r="M50" s="140">
        <f t="shared" si="26"/>
        <v>149400</v>
      </c>
      <c r="N50" s="140">
        <f t="shared" si="26"/>
        <v>232300</v>
      </c>
      <c r="O50" s="140">
        <f t="shared" si="26"/>
        <v>290800</v>
      </c>
      <c r="P50" s="140">
        <f t="shared" si="26"/>
        <v>627000</v>
      </c>
      <c r="Q50" s="140">
        <f t="shared" si="26"/>
        <v>1452300</v>
      </c>
      <c r="R50" s="140">
        <f aca="true" t="shared" si="27" ref="R50:AG50">R51+R52</f>
        <v>1405200</v>
      </c>
      <c r="S50" s="140">
        <f t="shared" si="27"/>
        <v>1739900</v>
      </c>
      <c r="T50" s="140">
        <f t="shared" si="27"/>
        <v>1696300</v>
      </c>
      <c r="U50" s="140">
        <f t="shared" si="27"/>
        <v>1243400</v>
      </c>
      <c r="V50" s="140">
        <f t="shared" si="27"/>
        <v>1700400</v>
      </c>
      <c r="W50" s="140">
        <f t="shared" si="27"/>
        <v>878700</v>
      </c>
      <c r="X50" s="140">
        <f t="shared" si="27"/>
        <v>941800</v>
      </c>
      <c r="Y50" s="140">
        <f t="shared" si="27"/>
        <v>1721300</v>
      </c>
      <c r="Z50" s="140">
        <f t="shared" si="27"/>
        <v>1870600</v>
      </c>
      <c r="AA50" s="140">
        <f t="shared" si="27"/>
        <v>1563400</v>
      </c>
      <c r="AB50" s="140">
        <f t="shared" si="27"/>
        <v>1244900</v>
      </c>
      <c r="AC50" s="140">
        <f t="shared" si="27"/>
        <v>549200</v>
      </c>
      <c r="AD50" s="140">
        <f t="shared" si="27"/>
        <v>832600</v>
      </c>
      <c r="AE50" s="140">
        <f t="shared" si="27"/>
        <v>1503800</v>
      </c>
      <c r="AF50" s="140">
        <f t="shared" si="27"/>
        <v>2746400</v>
      </c>
      <c r="AG50" s="140">
        <f t="shared" si="27"/>
        <v>5371400</v>
      </c>
      <c r="AH50" s="140">
        <f>AH51+AH52</f>
        <v>7280100</v>
      </c>
      <c r="AI50" s="140">
        <f>AI51+AI52</f>
        <v>9762800</v>
      </c>
      <c r="AJ50" s="140">
        <f>AJ51+AJ52</f>
        <v>22469900</v>
      </c>
      <c r="AK50" s="140">
        <f>AK51+AK52</f>
        <v>31730600</v>
      </c>
      <c r="AL50" s="140">
        <f>AL51+AL52</f>
        <v>0</v>
      </c>
      <c r="AM50" s="135"/>
      <c r="AN50" s="135"/>
      <c r="AO50" s="135"/>
      <c r="AP50" s="135"/>
      <c r="AQ50" s="135"/>
      <c r="AR50" s="135"/>
      <c r="AS50" s="135"/>
    </row>
    <row r="51" spans="1:45" s="136" customFormat="1" ht="15.75">
      <c r="A51" s="141" t="s">
        <v>15</v>
      </c>
      <c r="B51" s="142">
        <f>B23/B3</f>
        <v>0.4066006600660066</v>
      </c>
      <c r="C51" s="142">
        <v>33900</v>
      </c>
      <c r="D51" s="142">
        <v>35300</v>
      </c>
      <c r="E51" s="142">
        <v>41200</v>
      </c>
      <c r="F51" s="142">
        <v>45900</v>
      </c>
      <c r="G51" s="142">
        <v>53800</v>
      </c>
      <c r="H51" s="142">
        <v>60100</v>
      </c>
      <c r="I51" s="142">
        <v>69000</v>
      </c>
      <c r="J51" s="142">
        <v>82200</v>
      </c>
      <c r="K51" s="142">
        <v>93700</v>
      </c>
      <c r="L51" s="142">
        <v>110700</v>
      </c>
      <c r="M51" s="142">
        <v>127600</v>
      </c>
      <c r="N51" s="142">
        <v>203400</v>
      </c>
      <c r="O51" s="142">
        <v>257200</v>
      </c>
      <c r="P51" s="142">
        <v>583600</v>
      </c>
      <c r="Q51" s="142">
        <v>1412400</v>
      </c>
      <c r="R51" s="142">
        <v>1363900</v>
      </c>
      <c r="S51" s="142">
        <v>1701900</v>
      </c>
      <c r="T51" s="142">
        <v>1652300</v>
      </c>
      <c r="U51" s="142">
        <v>1205200</v>
      </c>
      <c r="V51" s="142">
        <v>1643300</v>
      </c>
      <c r="W51" s="142">
        <v>832800</v>
      </c>
      <c r="X51" s="142">
        <v>914800</v>
      </c>
      <c r="Y51" s="142">
        <v>1697400</v>
      </c>
      <c r="Z51" s="142">
        <v>1839500</v>
      </c>
      <c r="AA51" s="142">
        <v>1530300</v>
      </c>
      <c r="AB51" s="142">
        <v>1204100</v>
      </c>
      <c r="AC51" s="142">
        <v>479100</v>
      </c>
      <c r="AD51" s="142">
        <v>751500</v>
      </c>
      <c r="AE51" s="142">
        <v>808900</v>
      </c>
      <c r="AF51" s="142">
        <v>1481100</v>
      </c>
      <c r="AG51" s="142">
        <v>3499800</v>
      </c>
      <c r="AH51" s="142">
        <v>3637600</v>
      </c>
      <c r="AI51" s="142">
        <v>5403300</v>
      </c>
      <c r="AJ51" s="142">
        <v>16278000</v>
      </c>
      <c r="AK51" s="142">
        <v>23934300</v>
      </c>
      <c r="AL51" s="142"/>
      <c r="AM51" s="135"/>
      <c r="AN51" s="135"/>
      <c r="AO51" s="135"/>
      <c r="AP51" s="135"/>
      <c r="AQ51" s="135"/>
      <c r="AR51" s="135"/>
      <c r="AS51" s="135"/>
    </row>
    <row r="52" spans="1:45" s="136" customFormat="1" ht="15.75">
      <c r="A52" s="141" t="s">
        <v>16</v>
      </c>
      <c r="B52" s="142">
        <f>B24/B3</f>
        <v>0.1306930693069307</v>
      </c>
      <c r="C52" s="142">
        <v>9100</v>
      </c>
      <c r="D52" s="142">
        <v>9800</v>
      </c>
      <c r="E52" s="142">
        <v>9400</v>
      </c>
      <c r="F52" s="142">
        <v>10400</v>
      </c>
      <c r="G52" s="142">
        <v>11500</v>
      </c>
      <c r="H52" s="142">
        <v>13600</v>
      </c>
      <c r="I52" s="142">
        <v>11800</v>
      </c>
      <c r="J52" s="142">
        <v>13600</v>
      </c>
      <c r="K52" s="142">
        <v>16300</v>
      </c>
      <c r="L52" s="142">
        <v>18500</v>
      </c>
      <c r="M52" s="142">
        <v>21800</v>
      </c>
      <c r="N52" s="142">
        <v>28900</v>
      </c>
      <c r="O52" s="142">
        <v>33600</v>
      </c>
      <c r="P52" s="142">
        <v>43400</v>
      </c>
      <c r="Q52" s="142">
        <v>39900</v>
      </c>
      <c r="R52" s="142">
        <v>41300</v>
      </c>
      <c r="S52" s="142">
        <v>38000</v>
      </c>
      <c r="T52" s="142">
        <v>44000</v>
      </c>
      <c r="U52" s="142">
        <v>38200</v>
      </c>
      <c r="V52" s="142">
        <v>57100</v>
      </c>
      <c r="W52" s="142">
        <v>45900</v>
      </c>
      <c r="X52" s="142">
        <v>27000</v>
      </c>
      <c r="Y52" s="142">
        <v>23900</v>
      </c>
      <c r="Z52" s="142">
        <v>31100</v>
      </c>
      <c r="AA52" s="142">
        <v>33100</v>
      </c>
      <c r="AB52" s="142">
        <v>40800</v>
      </c>
      <c r="AC52" s="142">
        <v>70100</v>
      </c>
      <c r="AD52" s="142">
        <v>81100</v>
      </c>
      <c r="AE52" s="142">
        <v>694900</v>
      </c>
      <c r="AF52" s="142">
        <v>1265300</v>
      </c>
      <c r="AG52" s="142">
        <v>1871600</v>
      </c>
      <c r="AH52" s="142">
        <v>3642500</v>
      </c>
      <c r="AI52" s="142">
        <v>4359500</v>
      </c>
      <c r="AJ52" s="142">
        <v>6191900</v>
      </c>
      <c r="AK52" s="142">
        <v>7796300</v>
      </c>
      <c r="AL52" s="142"/>
      <c r="AM52" s="135"/>
      <c r="AN52" s="135"/>
      <c r="AO52" s="135"/>
      <c r="AP52" s="135"/>
      <c r="AQ52" s="135"/>
      <c r="AR52" s="135"/>
      <c r="AS52" s="135"/>
    </row>
    <row r="53" spans="1:45" s="136" customFormat="1" ht="15.75">
      <c r="A53" s="143" t="s">
        <v>17</v>
      </c>
      <c r="B53" s="140">
        <f>B25/B3</f>
        <v>0.010561056105610561</v>
      </c>
      <c r="C53" s="140">
        <f aca="true" t="shared" si="28" ref="C53:P53">C25/C3</f>
        <v>0.014521452145214523</v>
      </c>
      <c r="D53" s="140">
        <f t="shared" si="28"/>
        <v>0.013201320132013201</v>
      </c>
      <c r="E53" s="140">
        <f t="shared" si="28"/>
        <v>0.013201320132013201</v>
      </c>
      <c r="F53" s="140">
        <f t="shared" si="28"/>
        <v>0.013201320132013201</v>
      </c>
      <c r="G53" s="140">
        <f t="shared" si="28"/>
        <v>0.021122112211221122</v>
      </c>
      <c r="H53" s="140">
        <f t="shared" si="28"/>
        <v>0.029042904290429047</v>
      </c>
      <c r="I53" s="140">
        <f t="shared" si="28"/>
        <v>0.04092409240924093</v>
      </c>
      <c r="J53" s="140">
        <f t="shared" si="28"/>
        <v>0.04356435643564356</v>
      </c>
      <c r="K53" s="140">
        <f t="shared" si="28"/>
        <v>0.05676567656765676</v>
      </c>
      <c r="L53" s="140">
        <f t="shared" si="28"/>
        <v>0.052805280528052806</v>
      </c>
      <c r="M53" s="140">
        <f t="shared" si="28"/>
        <v>0.05676567656765676</v>
      </c>
      <c r="N53" s="140">
        <f t="shared" si="28"/>
        <v>0.10957095709570958</v>
      </c>
      <c r="O53" s="140">
        <f t="shared" si="28"/>
        <v>0.11178537208559565</v>
      </c>
      <c r="P53" s="140">
        <f t="shared" si="28"/>
        <v>0.23200682473377654</v>
      </c>
      <c r="Q53" s="140">
        <f aca="true" t="shared" si="29" ref="Q53:AF53">Q54+Q55</f>
        <v>0.3832893416046075</v>
      </c>
      <c r="R53" s="140">
        <f t="shared" si="29"/>
        <v>0.5260644924665875</v>
      </c>
      <c r="S53" s="140">
        <f t="shared" si="29"/>
        <v>0.6787945656181751</v>
      </c>
      <c r="T53" s="140">
        <f t="shared" si="29"/>
        <v>0.8125584347505774</v>
      </c>
      <c r="U53" s="140">
        <f t="shared" si="29"/>
        <v>0.6837850301525363</v>
      </c>
      <c r="V53" s="140">
        <f t="shared" si="29"/>
        <v>0.07287052146151118</v>
      </c>
      <c r="W53" s="140">
        <f t="shared" si="29"/>
        <v>0.06299962200226798</v>
      </c>
      <c r="X53" s="140">
        <f t="shared" si="29"/>
        <v>0.04509413400473489</v>
      </c>
      <c r="Y53" s="140">
        <f t="shared" si="29"/>
        <v>0.05806512774328103</v>
      </c>
      <c r="Z53" s="140">
        <f t="shared" si="29"/>
        <v>0.08715496381922226</v>
      </c>
      <c r="AA53" s="140">
        <f t="shared" si="29"/>
        <v>0.07413868294810293</v>
      </c>
      <c r="AB53" s="140">
        <f t="shared" si="29"/>
        <v>0.07154944293648</v>
      </c>
      <c r="AC53" s="140">
        <f t="shared" si="29"/>
        <v>0.05207384070612128</v>
      </c>
      <c r="AD53" s="140">
        <f t="shared" si="29"/>
        <v>0.6619304402408057</v>
      </c>
      <c r="AE53" s="140">
        <f t="shared" si="29"/>
        <v>0.6855694227769111</v>
      </c>
      <c r="AF53" s="140">
        <f t="shared" si="29"/>
        <v>1.0557432150893078</v>
      </c>
      <c r="AG53" s="140">
        <f aca="true" t="shared" si="30" ref="AG53:AL53">AG54+AG55</f>
        <v>1.1634712200660307</v>
      </c>
      <c r="AH53" s="140">
        <f t="shared" si="30"/>
        <v>2.4260283468283115</v>
      </c>
      <c r="AI53" s="140">
        <f t="shared" si="30"/>
        <v>1.576049416525933</v>
      </c>
      <c r="AJ53" s="140">
        <f t="shared" si="30"/>
        <v>0.09894957944910171</v>
      </c>
      <c r="AK53" s="140">
        <f t="shared" si="30"/>
        <v>0.1637598627787307</v>
      </c>
      <c r="AL53" s="140">
        <f t="shared" si="30"/>
        <v>0.3796635193133047</v>
      </c>
      <c r="AM53" s="135"/>
      <c r="AN53" s="135"/>
      <c r="AO53" s="135"/>
      <c r="AP53" s="135"/>
      <c r="AQ53" s="135"/>
      <c r="AR53" s="135"/>
      <c r="AS53" s="135"/>
    </row>
    <row r="54" spans="1:45" s="136" customFormat="1" ht="15.75">
      <c r="A54" s="141" t="s">
        <v>18</v>
      </c>
      <c r="B54" s="142" t="e">
        <f>B26/B3</f>
        <v>#N/A</v>
      </c>
      <c r="C54" s="142" t="e">
        <f aca="true" t="shared" si="31" ref="C54:R54">C26/C3</f>
        <v>#N/A</v>
      </c>
      <c r="D54" s="142" t="e">
        <f t="shared" si="31"/>
        <v>#N/A</v>
      </c>
      <c r="E54" s="142" t="e">
        <f t="shared" si="31"/>
        <v>#N/A</v>
      </c>
      <c r="F54" s="142" t="e">
        <f t="shared" si="31"/>
        <v>#N/A</v>
      </c>
      <c r="G54" s="142" t="e">
        <f t="shared" si="31"/>
        <v>#N/A</v>
      </c>
      <c r="H54" s="142" t="e">
        <f t="shared" si="31"/>
        <v>#N/A</v>
      </c>
      <c r="I54" s="142" t="e">
        <f t="shared" si="31"/>
        <v>#N/A</v>
      </c>
      <c r="J54" s="142" t="e">
        <f t="shared" si="31"/>
        <v>#N/A</v>
      </c>
      <c r="K54" s="142" t="e">
        <f t="shared" si="31"/>
        <v>#N/A</v>
      </c>
      <c r="L54" s="142" t="e">
        <f t="shared" si="31"/>
        <v>#N/A</v>
      </c>
      <c r="M54" s="142" t="e">
        <f t="shared" si="31"/>
        <v>#N/A</v>
      </c>
      <c r="N54" s="142" t="e">
        <f t="shared" si="31"/>
        <v>#N/A</v>
      </c>
      <c r="O54" s="142" t="e">
        <f t="shared" si="31"/>
        <v>#N/A</v>
      </c>
      <c r="P54" s="142">
        <f t="shared" si="31"/>
        <v>0.08530917220686003</v>
      </c>
      <c r="Q54" s="142">
        <f t="shared" si="31"/>
        <v>0.1307575618494885</v>
      </c>
      <c r="R54" s="142">
        <f t="shared" si="31"/>
        <v>0.17668579728004932</v>
      </c>
      <c r="S54" s="142">
        <f aca="true" t="shared" si="32" ref="S54:AH54">S26/S3</f>
        <v>0.21262241540686957</v>
      </c>
      <c r="T54" s="142">
        <f t="shared" si="32"/>
        <v>0.23258736522958784</v>
      </c>
      <c r="U54" s="142">
        <f t="shared" si="32"/>
        <v>0.3194324228449805</v>
      </c>
      <c r="V54" s="142">
        <f t="shared" si="32"/>
        <v>0.04092727917701313</v>
      </c>
      <c r="W54" s="142">
        <f t="shared" si="32"/>
        <v>0.033599798401209593</v>
      </c>
      <c r="X54" s="142">
        <f t="shared" si="32"/>
        <v>0.027557526336226875</v>
      </c>
      <c r="Y54" s="142">
        <f t="shared" si="32"/>
        <v>0.04858510688723514</v>
      </c>
      <c r="Z54" s="142">
        <f t="shared" si="32"/>
        <v>0.07568720542195617</v>
      </c>
      <c r="AA54" s="142">
        <f t="shared" si="32"/>
        <v>0.05560401221107719</v>
      </c>
      <c r="AB54" s="142">
        <f t="shared" si="32"/>
        <v>0.043156806850575234</v>
      </c>
      <c r="AC54" s="142">
        <f t="shared" si="32"/>
        <v>0.032546150441325805</v>
      </c>
      <c r="AD54" s="142">
        <f t="shared" si="32"/>
        <v>0.5463779280435961</v>
      </c>
      <c r="AE54" s="142">
        <f t="shared" si="32"/>
        <v>0.5713078523140926</v>
      </c>
      <c r="AF54" s="142">
        <f t="shared" si="32"/>
        <v>0.8649462485069028</v>
      </c>
      <c r="AG54" s="142">
        <f t="shared" si="32"/>
        <v>0.6544525612871421</v>
      </c>
      <c r="AH54" s="142">
        <f t="shared" si="32"/>
        <v>1.2541332979366695</v>
      </c>
      <c r="AI54" s="142">
        <f>AI26/AI3</f>
        <v>0.8879151642399622</v>
      </c>
      <c r="AJ54" s="142">
        <f>AJ26/AJ3</f>
        <v>0.020889355661477028</v>
      </c>
      <c r="AK54" s="142">
        <f>AK26/AK3</f>
        <v>0.14609948542024012</v>
      </c>
      <c r="AL54" s="142">
        <f>AL26/AL3</f>
        <v>0.25557836909871245</v>
      </c>
      <c r="AM54" s="135"/>
      <c r="AN54" s="135"/>
      <c r="AO54" s="135"/>
      <c r="AP54" s="135"/>
      <c r="AQ54" s="135"/>
      <c r="AR54" s="135"/>
      <c r="AS54" s="135"/>
    </row>
    <row r="55" spans="1:45" s="136" customFormat="1" ht="15.75">
      <c r="A55" s="141" t="s">
        <v>16</v>
      </c>
      <c r="B55" s="142" t="e">
        <f>B27/B3</f>
        <v>#N/A</v>
      </c>
      <c r="C55" s="142" t="e">
        <f aca="true" t="shared" si="33" ref="C55:R55">C27/C3</f>
        <v>#N/A</v>
      </c>
      <c r="D55" s="142" t="e">
        <f t="shared" si="33"/>
        <v>#N/A</v>
      </c>
      <c r="E55" s="142" t="e">
        <f t="shared" si="33"/>
        <v>#N/A</v>
      </c>
      <c r="F55" s="142" t="e">
        <f t="shared" si="33"/>
        <v>#N/A</v>
      </c>
      <c r="G55" s="142" t="e">
        <f t="shared" si="33"/>
        <v>#N/A</v>
      </c>
      <c r="H55" s="142" t="e">
        <f t="shared" si="33"/>
        <v>#N/A</v>
      </c>
      <c r="I55" s="142" t="e">
        <f t="shared" si="33"/>
        <v>#N/A</v>
      </c>
      <c r="J55" s="142" t="e">
        <f t="shared" si="33"/>
        <v>#N/A</v>
      </c>
      <c r="K55" s="142" t="e">
        <f t="shared" si="33"/>
        <v>#N/A</v>
      </c>
      <c r="L55" s="142" t="e">
        <f t="shared" si="33"/>
        <v>#N/A</v>
      </c>
      <c r="M55" s="142" t="e">
        <f t="shared" si="33"/>
        <v>#N/A</v>
      </c>
      <c r="N55" s="142" t="e">
        <f t="shared" si="33"/>
        <v>#N/A</v>
      </c>
      <c r="O55" s="142" t="e">
        <f t="shared" si="33"/>
        <v>#N/A</v>
      </c>
      <c r="P55" s="142">
        <f t="shared" si="33"/>
        <v>0.14708477966700007</v>
      </c>
      <c r="Q55" s="142">
        <f t="shared" si="33"/>
        <v>0.252531779755119</v>
      </c>
      <c r="R55" s="142">
        <f t="shared" si="33"/>
        <v>0.3493786951865382</v>
      </c>
      <c r="S55" s="142">
        <f aca="true" t="shared" si="34" ref="S55:AH55">S27/S3</f>
        <v>0.46617215021130554</v>
      </c>
      <c r="T55" s="142">
        <f t="shared" si="34"/>
        <v>0.5799710695209895</v>
      </c>
      <c r="U55" s="142">
        <f t="shared" si="34"/>
        <v>0.36435260730755586</v>
      </c>
      <c r="V55" s="142">
        <f t="shared" si="34"/>
        <v>0.03194324228449805</v>
      </c>
      <c r="W55" s="142">
        <f t="shared" si="34"/>
        <v>0.029399823601058393</v>
      </c>
      <c r="X55" s="142">
        <f t="shared" si="34"/>
        <v>0.01753660766850801</v>
      </c>
      <c r="Y55" s="142">
        <f t="shared" si="34"/>
        <v>0.009480020856045884</v>
      </c>
      <c r="Z55" s="142">
        <f t="shared" si="34"/>
        <v>0.011467758397266088</v>
      </c>
      <c r="AA55" s="142">
        <f t="shared" si="34"/>
        <v>0.01853467073702573</v>
      </c>
      <c r="AB55" s="142">
        <f t="shared" si="34"/>
        <v>0.028392636085904758</v>
      </c>
      <c r="AC55" s="142">
        <f t="shared" si="34"/>
        <v>0.01952769026479548</v>
      </c>
      <c r="AD55" s="142">
        <f t="shared" si="34"/>
        <v>0.11555251219720962</v>
      </c>
      <c r="AE55" s="142">
        <f t="shared" si="34"/>
        <v>0.11426157046281854</v>
      </c>
      <c r="AF55" s="142">
        <f t="shared" si="34"/>
        <v>0.19079696658240505</v>
      </c>
      <c r="AG55" s="142">
        <f t="shared" si="34"/>
        <v>0.5090186587788884</v>
      </c>
      <c r="AH55" s="142">
        <f t="shared" si="34"/>
        <v>1.171895048891642</v>
      </c>
      <c r="AI55" s="142">
        <f>AI27/AI3</f>
        <v>0.6881342522859707</v>
      </c>
      <c r="AJ55" s="142">
        <f>AJ27/AJ3</f>
        <v>0.07806022378762469</v>
      </c>
      <c r="AK55" s="142">
        <f>AK27/AK3</f>
        <v>0.01766037735849057</v>
      </c>
      <c r="AL55" s="142">
        <f>AL27/AL3</f>
        <v>0.12408515021459228</v>
      </c>
      <c r="AM55" s="135"/>
      <c r="AN55" s="135"/>
      <c r="AO55" s="135"/>
      <c r="AP55" s="135"/>
      <c r="AQ55" s="135"/>
      <c r="AR55" s="135"/>
      <c r="AS55" s="135"/>
    </row>
    <row r="56" spans="1:45" s="136" customFormat="1" ht="15.75">
      <c r="A56" s="137" t="s">
        <v>19</v>
      </c>
      <c r="B56" s="138">
        <f aca="true" t="shared" si="35" ref="B56:Q56">B57+B58</f>
        <v>0.6363036303630363</v>
      </c>
      <c r="C56" s="138">
        <f t="shared" si="35"/>
        <v>0.6561056105610562</v>
      </c>
      <c r="D56" s="138">
        <f t="shared" si="35"/>
        <v>0.6310231023102311</v>
      </c>
      <c r="E56" s="138">
        <f t="shared" si="35"/>
        <v>0.5768976897689769</v>
      </c>
      <c r="F56" s="138">
        <f t="shared" si="35"/>
        <v>0.5518151815181519</v>
      </c>
      <c r="G56" s="138">
        <f t="shared" si="35"/>
        <v>0.7894389438943895</v>
      </c>
      <c r="H56" s="138">
        <f t="shared" si="35"/>
        <v>0.9174917491749175</v>
      </c>
      <c r="I56" s="138">
        <f t="shared" si="35"/>
        <v>1.0745874587458746</v>
      </c>
      <c r="J56" s="138">
        <f t="shared" si="35"/>
        <v>1.3346534653465347</v>
      </c>
      <c r="K56" s="138">
        <f t="shared" si="35"/>
        <v>1.5894389438943894</v>
      </c>
      <c r="L56" s="138">
        <f t="shared" si="35"/>
        <v>1.842904290429043</v>
      </c>
      <c r="M56" s="138">
        <f t="shared" si="35"/>
        <v>2.091089108910891</v>
      </c>
      <c r="N56" s="138">
        <f t="shared" si="35"/>
        <v>2.631023102310231</v>
      </c>
      <c r="O56" s="138">
        <f t="shared" si="35"/>
        <v>3.645364536453645</v>
      </c>
      <c r="P56" s="138">
        <f t="shared" si="35"/>
        <v>5.093149820556568</v>
      </c>
      <c r="Q56" s="138">
        <f t="shared" si="35"/>
        <v>9.991456760878254</v>
      </c>
      <c r="R56" s="138">
        <f aca="true" t="shared" si="36" ref="R56:AG56">R57+R58</f>
        <v>16.46109414198319</v>
      </c>
      <c r="S56" s="138">
        <f t="shared" si="36"/>
        <v>17.26855776157926</v>
      </c>
      <c r="T56" s="138">
        <f t="shared" si="36"/>
        <v>21.069246929147248</v>
      </c>
      <c r="U56" s="138">
        <f t="shared" si="36"/>
        <v>15.572571833983682</v>
      </c>
      <c r="V56" s="138">
        <f t="shared" si="36"/>
        <v>13.044095069173466</v>
      </c>
      <c r="W56" s="138">
        <f t="shared" si="36"/>
        <v>24.42447185316888</v>
      </c>
      <c r="X56" s="138">
        <f t="shared" si="36"/>
        <v>25.2958300452194</v>
      </c>
      <c r="Y56" s="138">
        <f t="shared" si="36"/>
        <v>23.754263639380007</v>
      </c>
      <c r="Z56" s="138">
        <f t="shared" si="36"/>
        <v>34.007599683489865</v>
      </c>
      <c r="AA56" s="138">
        <f t="shared" si="36"/>
        <v>24.283943523767995</v>
      </c>
      <c r="AB56" s="138">
        <f t="shared" si="36"/>
        <v>23.051140816117933</v>
      </c>
      <c r="AC56" s="138">
        <f t="shared" si="36"/>
        <v>19.497823313458486</v>
      </c>
      <c r="AD56" s="138">
        <f t="shared" si="36"/>
        <v>21.72551428000799</v>
      </c>
      <c r="AE56" s="138">
        <f t="shared" si="36"/>
        <v>40.64688854220836</v>
      </c>
      <c r="AF56" s="138">
        <f t="shared" si="36"/>
        <v>62.172985360704466</v>
      </c>
      <c r="AG56" s="138">
        <f t="shared" si="36"/>
        <v>122.05424640344195</v>
      </c>
      <c r="AH56" s="138">
        <f>AH57+AH58</f>
        <v>217.2591124286536</v>
      </c>
      <c r="AI56" s="138">
        <f>AI57+AI58</f>
        <v>269.28799123647815</v>
      </c>
      <c r="AJ56" s="138">
        <f>AJ57+AJ58</f>
        <v>12.055842914961069</v>
      </c>
      <c r="AK56" s="138">
        <f>AK57+AK58</f>
        <v>9.733784734133792</v>
      </c>
      <c r="AL56" s="138">
        <f>AL57+AL58</f>
        <v>13.954889756795422</v>
      </c>
      <c r="AM56" s="135"/>
      <c r="AN56" s="135"/>
      <c r="AO56" s="135"/>
      <c r="AP56" s="135"/>
      <c r="AQ56" s="135"/>
      <c r="AR56" s="135"/>
      <c r="AS56" s="135"/>
    </row>
    <row r="57" spans="1:45" s="136" customFormat="1" ht="15.75">
      <c r="A57" s="143" t="s">
        <v>20</v>
      </c>
      <c r="B57" s="140">
        <f>B29/B3</f>
        <v>0.5914191419141914</v>
      </c>
      <c r="C57" s="140">
        <f aca="true" t="shared" si="37" ref="C57:R57">C29/C3</f>
        <v>0.6165016501650166</v>
      </c>
      <c r="D57" s="140">
        <f t="shared" si="37"/>
        <v>0.5966996699669967</v>
      </c>
      <c r="E57" s="140">
        <f t="shared" si="37"/>
        <v>0.5372937293729373</v>
      </c>
      <c r="F57" s="140">
        <f t="shared" si="37"/>
        <v>0.5042904290429043</v>
      </c>
      <c r="G57" s="140">
        <f t="shared" si="37"/>
        <v>0.7287128712871288</v>
      </c>
      <c r="H57" s="140">
        <f t="shared" si="37"/>
        <v>0.8541254125412542</v>
      </c>
      <c r="I57" s="140">
        <f t="shared" si="37"/>
        <v>1.0072607260726072</v>
      </c>
      <c r="J57" s="140">
        <f t="shared" si="37"/>
        <v>1.266006600660066</v>
      </c>
      <c r="K57" s="140">
        <f t="shared" si="37"/>
        <v>1.500990099009901</v>
      </c>
      <c r="L57" s="140">
        <f t="shared" si="37"/>
        <v>1.7359735973597359</v>
      </c>
      <c r="M57" s="140">
        <f t="shared" si="37"/>
        <v>1.9353135313531353</v>
      </c>
      <c r="N57" s="140">
        <f t="shared" si="37"/>
        <v>2.499009900990099</v>
      </c>
      <c r="O57" s="140">
        <f t="shared" si="37"/>
        <v>3.4972852123922067</v>
      </c>
      <c r="P57" s="140">
        <f t="shared" si="37"/>
        <v>4.785140760134141</v>
      </c>
      <c r="Q57" s="140">
        <f t="shared" si="37"/>
        <v>9.302183497919842</v>
      </c>
      <c r="R57" s="140">
        <f t="shared" si="37"/>
        <v>15.268842040403152</v>
      </c>
      <c r="S57" s="140">
        <f aca="true" t="shared" si="38" ref="S57:AH57">S29/S3</f>
        <v>15.520464404231783</v>
      </c>
      <c r="T57" s="140">
        <f t="shared" si="38"/>
        <v>18.54278055622459</v>
      </c>
      <c r="U57" s="140">
        <f t="shared" si="38"/>
        <v>13.820469670095779</v>
      </c>
      <c r="V57" s="140">
        <f t="shared" si="38"/>
        <v>10.010724370344093</v>
      </c>
      <c r="W57" s="140">
        <f t="shared" si="38"/>
        <v>21.595816825099046</v>
      </c>
      <c r="X57" s="140">
        <f t="shared" si="38"/>
        <v>24.130679042501225</v>
      </c>
      <c r="Y57" s="140">
        <f t="shared" si="38"/>
        <v>23.050457411006303</v>
      </c>
      <c r="Z57" s="140">
        <f t="shared" si="38"/>
        <v>33.10145869886813</v>
      </c>
      <c r="AA57" s="140">
        <f t="shared" si="38"/>
        <v>23.276997383340607</v>
      </c>
      <c r="AB57" s="140">
        <f t="shared" si="38"/>
        <v>22.049965360983975</v>
      </c>
      <c r="AC57" s="140">
        <f t="shared" si="38"/>
        <v>18.999815137865497</v>
      </c>
      <c r="AD57" s="140">
        <f t="shared" si="38"/>
        <v>21.28016776512882</v>
      </c>
      <c r="AE57" s="140">
        <f t="shared" si="38"/>
        <v>36.33149592650373</v>
      </c>
      <c r="AF57" s="140">
        <f t="shared" si="38"/>
        <v>55.86678518847746</v>
      </c>
      <c r="AG57" s="140">
        <f t="shared" si="38"/>
        <v>107.94433738179538</v>
      </c>
      <c r="AH57" s="140">
        <f t="shared" si="38"/>
        <v>190.10549680692594</v>
      </c>
      <c r="AI57" s="140">
        <f>AI29/AI3</f>
        <v>231.97160071203612</v>
      </c>
      <c r="AJ57" s="140">
        <f>AJ29/AJ3</f>
        <v>10.427887806119568</v>
      </c>
      <c r="AK57" s="140">
        <f>AK29/AK3</f>
        <v>8.813144025157234</v>
      </c>
      <c r="AL57" s="140">
        <f>AL29/AL3</f>
        <v>12.615375793991417</v>
      </c>
      <c r="AM57" s="135"/>
      <c r="AN57" s="135"/>
      <c r="AO57" s="135"/>
      <c r="AP57" s="135"/>
      <c r="AQ57" s="135"/>
      <c r="AR57" s="135"/>
      <c r="AS57" s="135"/>
    </row>
    <row r="58" spans="1:45" s="136" customFormat="1" ht="15.75">
      <c r="A58" s="143" t="s">
        <v>17</v>
      </c>
      <c r="B58" s="148">
        <f>B30/B3</f>
        <v>0.044884488448844885</v>
      </c>
      <c r="C58" s="148">
        <f aca="true" t="shared" si="39" ref="C58:P58">C30/C3</f>
        <v>0.039603960396039604</v>
      </c>
      <c r="D58" s="148">
        <f t="shared" si="39"/>
        <v>0.034323432343234324</v>
      </c>
      <c r="E58" s="148">
        <f t="shared" si="39"/>
        <v>0.039603960396039604</v>
      </c>
      <c r="F58" s="148">
        <f t="shared" si="39"/>
        <v>0.047524752475247525</v>
      </c>
      <c r="G58" s="148">
        <f t="shared" si="39"/>
        <v>0.06072607260726072</v>
      </c>
      <c r="H58" s="148">
        <f t="shared" si="39"/>
        <v>0.06336633663366337</v>
      </c>
      <c r="I58" s="148">
        <f t="shared" si="39"/>
        <v>0.06732673267326732</v>
      </c>
      <c r="J58" s="148">
        <f t="shared" si="39"/>
        <v>0.06864686468646865</v>
      </c>
      <c r="K58" s="148">
        <f t="shared" si="39"/>
        <v>0.08844884488448845</v>
      </c>
      <c r="L58" s="148">
        <f t="shared" si="39"/>
        <v>0.10693069306930693</v>
      </c>
      <c r="M58" s="148">
        <f t="shared" si="39"/>
        <v>0.15577557755775578</v>
      </c>
      <c r="N58" s="148">
        <f t="shared" si="39"/>
        <v>0.132013201320132</v>
      </c>
      <c r="O58" s="148">
        <f t="shared" si="39"/>
        <v>0.1480793240614384</v>
      </c>
      <c r="P58" s="148">
        <f t="shared" si="39"/>
        <v>0.3080090604224275</v>
      </c>
      <c r="Q58" s="148">
        <f aca="true" t="shared" si="40" ref="Q58:AF58">Q59+Q60</f>
        <v>0.6892732629584117</v>
      </c>
      <c r="R58" s="148">
        <f t="shared" si="40"/>
        <v>1.1922521015800362</v>
      </c>
      <c r="S58" s="148">
        <f t="shared" si="40"/>
        <v>1.7480933573474768</v>
      </c>
      <c r="T58" s="148">
        <f t="shared" si="40"/>
        <v>2.526466372922658</v>
      </c>
      <c r="U58" s="148">
        <f t="shared" si="40"/>
        <v>1.7521021638879037</v>
      </c>
      <c r="V58" s="148">
        <f t="shared" si="40"/>
        <v>3.0333706988293723</v>
      </c>
      <c r="W58" s="148">
        <f t="shared" si="40"/>
        <v>2.8286550280698313</v>
      </c>
      <c r="X58" s="148">
        <f t="shared" si="40"/>
        <v>1.1651510027181744</v>
      </c>
      <c r="Y58" s="148">
        <f t="shared" si="40"/>
        <v>0.7038062283737024</v>
      </c>
      <c r="Z58" s="148">
        <f t="shared" si="40"/>
        <v>0.9061409846217361</v>
      </c>
      <c r="AA58" s="148">
        <f t="shared" si="40"/>
        <v>1.0069461404273878</v>
      </c>
      <c r="AB58" s="148">
        <f t="shared" si="40"/>
        <v>1.0011754551339567</v>
      </c>
      <c r="AC58" s="148">
        <f t="shared" si="40"/>
        <v>0.498008175592991</v>
      </c>
      <c r="AD58" s="148">
        <f t="shared" si="40"/>
        <v>0.44534651487916915</v>
      </c>
      <c r="AE58" s="148">
        <f t="shared" si="40"/>
        <v>4.315392615704628</v>
      </c>
      <c r="AF58" s="148">
        <f t="shared" si="40"/>
        <v>6.306200172227007</v>
      </c>
      <c r="AG58" s="148">
        <f aca="true" t="shared" si="41" ref="AG58:AL58">AG59+AG60</f>
        <v>14.109909021646574</v>
      </c>
      <c r="AH58" s="148">
        <f t="shared" si="41"/>
        <v>27.153615621727653</v>
      </c>
      <c r="AI58" s="148">
        <f t="shared" si="41"/>
        <v>37.316390524442006</v>
      </c>
      <c r="AJ58" s="148">
        <f t="shared" si="41"/>
        <v>1.6279551088415003</v>
      </c>
      <c r="AK58" s="148">
        <f t="shared" si="41"/>
        <v>0.9206407089765581</v>
      </c>
      <c r="AL58" s="148">
        <f t="shared" si="41"/>
        <v>1.3395139628040056</v>
      </c>
      <c r="AM58" s="135"/>
      <c r="AN58" s="135"/>
      <c r="AO58" s="135"/>
      <c r="AP58" s="135"/>
      <c r="AQ58" s="135"/>
      <c r="AR58" s="135"/>
      <c r="AS58" s="135"/>
    </row>
    <row r="59" spans="1:45" s="136" customFormat="1" ht="15.75">
      <c r="A59" s="141" t="s">
        <v>21</v>
      </c>
      <c r="B59" s="142" t="e">
        <f>B31/B3</f>
        <v>#N/A</v>
      </c>
      <c r="C59" s="142" t="e">
        <f aca="true" t="shared" si="42" ref="C59:R59">C31/C3</f>
        <v>#N/A</v>
      </c>
      <c r="D59" s="142" t="e">
        <f t="shared" si="42"/>
        <v>#N/A</v>
      </c>
      <c r="E59" s="142" t="e">
        <f t="shared" si="42"/>
        <v>#N/A</v>
      </c>
      <c r="F59" s="142" t="e">
        <f t="shared" si="42"/>
        <v>#N/A</v>
      </c>
      <c r="G59" s="142" t="e">
        <f t="shared" si="42"/>
        <v>#N/A</v>
      </c>
      <c r="H59" s="142" t="e">
        <f t="shared" si="42"/>
        <v>#N/A</v>
      </c>
      <c r="I59" s="142" t="e">
        <f t="shared" si="42"/>
        <v>#N/A</v>
      </c>
      <c r="J59" s="142" t="e">
        <f t="shared" si="42"/>
        <v>#N/A</v>
      </c>
      <c r="K59" s="142" t="e">
        <f t="shared" si="42"/>
        <v>#N/A</v>
      </c>
      <c r="L59" s="142" t="e">
        <f t="shared" si="42"/>
        <v>#N/A</v>
      </c>
      <c r="M59" s="142" t="e">
        <f t="shared" si="42"/>
        <v>#N/A</v>
      </c>
      <c r="N59" s="142" t="e">
        <f t="shared" si="42"/>
        <v>#N/A</v>
      </c>
      <c r="O59" s="142" t="e">
        <f t="shared" si="42"/>
        <v>#N/A</v>
      </c>
      <c r="P59" s="142">
        <f t="shared" si="42"/>
        <v>0.06765899864682003</v>
      </c>
      <c r="Q59" s="142">
        <f t="shared" si="42"/>
        <v>0.1382553928608442</v>
      </c>
      <c r="R59" s="142">
        <f t="shared" si="42"/>
        <v>0.388734298666432</v>
      </c>
      <c r="S59" s="142">
        <f aca="true" t="shared" si="43" ref="S59:AH59">S31/S3</f>
        <v>0.49387393992682294</v>
      </c>
      <c r="T59" s="142">
        <f t="shared" si="43"/>
        <v>0.6261068529249253</v>
      </c>
      <c r="U59" s="142">
        <f t="shared" si="43"/>
        <v>0.1001773678609436</v>
      </c>
      <c r="V59" s="142">
        <f t="shared" si="43"/>
        <v>0.0951684994678964</v>
      </c>
      <c r="W59" s="142">
        <f t="shared" si="43"/>
        <v>0.09643142141147153</v>
      </c>
      <c r="X59" s="142">
        <f t="shared" si="43"/>
        <v>0.07071261257875817</v>
      </c>
      <c r="Y59" s="142">
        <f t="shared" si="43"/>
        <v>0.061060814333791534</v>
      </c>
      <c r="Z59" s="142">
        <f t="shared" si="43"/>
        <v>0.16066329514569788</v>
      </c>
      <c r="AA59" s="142">
        <f t="shared" si="43"/>
        <v>0.2232304840819887</v>
      </c>
      <c r="AB59" s="142">
        <f t="shared" si="43"/>
        <v>0.1848076682831541</v>
      </c>
      <c r="AC59" s="142">
        <f t="shared" si="43"/>
        <v>0.10120811310438203</v>
      </c>
      <c r="AD59" s="142">
        <f t="shared" si="43"/>
        <v>0.049840223686838436</v>
      </c>
      <c r="AE59" s="142">
        <f t="shared" si="43"/>
        <v>4.079073496273184</v>
      </c>
      <c r="AF59" s="142">
        <f t="shared" si="43"/>
        <v>5.770297786049613</v>
      </c>
      <c r="AG59" s="142">
        <f t="shared" si="43"/>
        <v>12.10766817550307</v>
      </c>
      <c r="AH59" s="142">
        <f t="shared" si="43"/>
        <v>21.614217659985545</v>
      </c>
      <c r="AI59" s="142">
        <f>AI31/AI3</f>
        <v>26.26300454911984</v>
      </c>
      <c r="AJ59" s="142">
        <f>AJ31/AJ3</f>
        <v>1.1618982161741562</v>
      </c>
      <c r="AK59" s="142">
        <f>AK31/AK3</f>
        <v>0.8165622069754146</v>
      </c>
      <c r="AL59" s="142">
        <f>AL31/AL3</f>
        <v>1.1001666380543633</v>
      </c>
      <c r="AM59" s="135"/>
      <c r="AN59" s="135"/>
      <c r="AO59" s="135"/>
      <c r="AP59" s="135"/>
      <c r="AQ59" s="135"/>
      <c r="AR59" s="135"/>
      <c r="AS59" s="135"/>
    </row>
    <row r="60" spans="1:45" s="136" customFormat="1" ht="15.75">
      <c r="A60" s="141" t="s">
        <v>16</v>
      </c>
      <c r="B60" s="142" t="e">
        <f>B32/B3</f>
        <v>#N/A</v>
      </c>
      <c r="C60" s="142" t="e">
        <f aca="true" t="shared" si="44" ref="C60:R60">C32/C3</f>
        <v>#N/A</v>
      </c>
      <c r="D60" s="142" t="e">
        <f t="shared" si="44"/>
        <v>#N/A</v>
      </c>
      <c r="E60" s="142" t="e">
        <f t="shared" si="44"/>
        <v>#N/A</v>
      </c>
      <c r="F60" s="142" t="e">
        <f t="shared" si="44"/>
        <v>#N/A</v>
      </c>
      <c r="G60" s="142" t="e">
        <f t="shared" si="44"/>
        <v>#N/A</v>
      </c>
      <c r="H60" s="142" t="e">
        <f t="shared" si="44"/>
        <v>#N/A</v>
      </c>
      <c r="I60" s="142" t="e">
        <f t="shared" si="44"/>
        <v>#N/A</v>
      </c>
      <c r="J60" s="142" t="e">
        <f t="shared" si="44"/>
        <v>#N/A</v>
      </c>
      <c r="K60" s="142" t="e">
        <f t="shared" si="44"/>
        <v>#N/A</v>
      </c>
      <c r="L60" s="142" t="e">
        <f t="shared" si="44"/>
        <v>#N/A</v>
      </c>
      <c r="M60" s="142" t="e">
        <f t="shared" si="44"/>
        <v>#N/A</v>
      </c>
      <c r="N60" s="142" t="e">
        <f t="shared" si="44"/>
        <v>#N/A</v>
      </c>
      <c r="O60" s="142" t="e">
        <f t="shared" si="44"/>
        <v>#N/A</v>
      </c>
      <c r="P60" s="142">
        <f t="shared" si="44"/>
        <v>0.2397481908572101</v>
      </c>
      <c r="Q60" s="142">
        <f t="shared" si="44"/>
        <v>0.5510178700975675</v>
      </c>
      <c r="R60" s="142">
        <f t="shared" si="44"/>
        <v>0.8035178029136042</v>
      </c>
      <c r="S60" s="142">
        <f aca="true" t="shared" si="45" ref="S60:AH60">S32/S3</f>
        <v>1.254219417420654</v>
      </c>
      <c r="T60" s="142">
        <f t="shared" si="45"/>
        <v>1.900359519997733</v>
      </c>
      <c r="U60" s="142">
        <f t="shared" si="45"/>
        <v>1.65192479602696</v>
      </c>
      <c r="V60" s="142">
        <f t="shared" si="45"/>
        <v>2.9382021993614758</v>
      </c>
      <c r="W60" s="142">
        <f t="shared" si="45"/>
        <v>2.73222360665836</v>
      </c>
      <c r="X60" s="142">
        <f t="shared" si="45"/>
        <v>1.0944383901394161</v>
      </c>
      <c r="Y60" s="142">
        <f t="shared" si="45"/>
        <v>0.6427454140399109</v>
      </c>
      <c r="Z60" s="142">
        <f t="shared" si="45"/>
        <v>0.7454776894760382</v>
      </c>
      <c r="AA60" s="142">
        <f t="shared" si="45"/>
        <v>0.7837156563453991</v>
      </c>
      <c r="AB60" s="142">
        <f t="shared" si="45"/>
        <v>0.8163677868508025</v>
      </c>
      <c r="AC60" s="142">
        <f t="shared" si="45"/>
        <v>0.39680006248860894</v>
      </c>
      <c r="AD60" s="142">
        <f t="shared" si="45"/>
        <v>0.3955062911923307</v>
      </c>
      <c r="AE60" s="142">
        <f t="shared" si="45"/>
        <v>0.23631911943144393</v>
      </c>
      <c r="AF60" s="142">
        <f t="shared" si="45"/>
        <v>0.5359023861773938</v>
      </c>
      <c r="AG60" s="142">
        <f t="shared" si="45"/>
        <v>2.0022408461435037</v>
      </c>
      <c r="AH60" s="142">
        <f t="shared" si="45"/>
        <v>5.5393979617421065</v>
      </c>
      <c r="AI60" s="142">
        <f>AI32/AI3</f>
        <v>11.053385975322165</v>
      </c>
      <c r="AJ60" s="142">
        <f>AJ32/AJ3</f>
        <v>0.4660568926673442</v>
      </c>
      <c r="AK60" s="142">
        <f>AK32/AK3</f>
        <v>0.10407850200114352</v>
      </c>
      <c r="AL60" s="142">
        <f>AL32/AL3</f>
        <v>0.23934732474964235</v>
      </c>
      <c r="AM60" s="135"/>
      <c r="AN60" s="135"/>
      <c r="AO60" s="135"/>
      <c r="AP60" s="135"/>
      <c r="AQ60" s="135"/>
      <c r="AR60" s="135"/>
      <c r="AS60" s="135"/>
    </row>
    <row r="61" spans="1:45" s="136" customFormat="1" ht="15.75">
      <c r="A61" s="144" t="s">
        <v>22</v>
      </c>
      <c r="B61" s="145">
        <f aca="true" t="shared" si="46" ref="B61:Q61">B49-B56</f>
        <v>-0.08844884488448845</v>
      </c>
      <c r="C61" s="145">
        <f t="shared" si="46"/>
        <v>42999.35841584158</v>
      </c>
      <c r="D61" s="145">
        <f t="shared" si="46"/>
        <v>45099.38217821782</v>
      </c>
      <c r="E61" s="145">
        <f t="shared" si="46"/>
        <v>50599.43630363036</v>
      </c>
      <c r="F61" s="145">
        <f t="shared" si="46"/>
        <v>56299.46138613861</v>
      </c>
      <c r="G61" s="145">
        <f t="shared" si="46"/>
        <v>65299.23168316831</v>
      </c>
      <c r="H61" s="145">
        <f t="shared" si="46"/>
        <v>73699.11155115512</v>
      </c>
      <c r="I61" s="145">
        <f t="shared" si="46"/>
        <v>80798.96633663366</v>
      </c>
      <c r="J61" s="145">
        <f t="shared" si="46"/>
        <v>95798.70891089109</v>
      </c>
      <c r="K61" s="145">
        <f t="shared" si="46"/>
        <v>109998.46732673267</v>
      </c>
      <c r="L61" s="145">
        <f t="shared" si="46"/>
        <v>129198.2099009901</v>
      </c>
      <c r="M61" s="145">
        <f t="shared" si="46"/>
        <v>149397.96567656766</v>
      </c>
      <c r="N61" s="145">
        <f t="shared" si="46"/>
        <v>232297.4785478548</v>
      </c>
      <c r="O61" s="145">
        <f t="shared" si="46"/>
        <v>290796.46642083564</v>
      </c>
      <c r="P61" s="145">
        <f t="shared" si="46"/>
        <v>626995.1388570041</v>
      </c>
      <c r="Q61" s="145">
        <f t="shared" si="46"/>
        <v>1452290.3918325808</v>
      </c>
      <c r="R61" s="145">
        <f aca="true" t="shared" si="47" ref="R61:AG61">R49-R56</f>
        <v>1405184.0649703506</v>
      </c>
      <c r="S61" s="145">
        <f t="shared" si="47"/>
        <v>1739883.410236804</v>
      </c>
      <c r="T61" s="145">
        <f t="shared" si="47"/>
        <v>1696279.7433115055</v>
      </c>
      <c r="U61" s="145">
        <f t="shared" si="47"/>
        <v>1243385.111213196</v>
      </c>
      <c r="V61" s="145">
        <f t="shared" si="47"/>
        <v>1700387.0287754524</v>
      </c>
      <c r="W61" s="145">
        <f t="shared" si="47"/>
        <v>878675.6385277688</v>
      </c>
      <c r="X61" s="145">
        <f t="shared" si="47"/>
        <v>941774.7492640888</v>
      </c>
      <c r="Y61" s="145">
        <f t="shared" si="47"/>
        <v>1721276.3038014884</v>
      </c>
      <c r="Z61" s="145">
        <f t="shared" si="47"/>
        <v>1870566.0795552803</v>
      </c>
      <c r="AA61" s="145">
        <f t="shared" si="47"/>
        <v>1563375.7901951594</v>
      </c>
      <c r="AB61" s="145">
        <f t="shared" si="47"/>
        <v>1244877.0204086266</v>
      </c>
      <c r="AC61" s="145">
        <f t="shared" si="47"/>
        <v>549180.5542505273</v>
      </c>
      <c r="AD61" s="145">
        <f t="shared" si="47"/>
        <v>832578.9364161602</v>
      </c>
      <c r="AE61" s="145">
        <f t="shared" si="47"/>
        <v>1503760.0386808806</v>
      </c>
      <c r="AF61" s="145">
        <f t="shared" si="47"/>
        <v>2746338.8827578546</v>
      </c>
      <c r="AG61" s="145">
        <f t="shared" si="47"/>
        <v>5371279.109224817</v>
      </c>
      <c r="AH61" s="145">
        <f>AH49-AH56</f>
        <v>7279885.166915918</v>
      </c>
      <c r="AI61" s="145">
        <f>AI49-AI56</f>
        <v>9762532.28805818</v>
      </c>
      <c r="AJ61" s="145">
        <f>AJ49-AJ56</f>
        <v>22469888.043106664</v>
      </c>
      <c r="AK61" s="145">
        <f>AK49-AK56</f>
        <v>31730590.429975126</v>
      </c>
      <c r="AL61" s="145">
        <f>AL49-AL56</f>
        <v>-13.575226237482118</v>
      </c>
      <c r="AM61" s="135"/>
      <c r="AN61" s="135"/>
      <c r="AO61" s="135"/>
      <c r="AP61" s="135"/>
      <c r="AQ61" s="135"/>
      <c r="AR61" s="135"/>
      <c r="AS61" s="135"/>
    </row>
    <row r="62" spans="1:45" s="136" customFormat="1" ht="15.75">
      <c r="A62" s="144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35"/>
      <c r="AN62" s="135"/>
      <c r="AO62" s="135"/>
      <c r="AP62" s="135"/>
      <c r="AQ62" s="135"/>
      <c r="AR62" s="135"/>
      <c r="AS62" s="135"/>
    </row>
    <row r="63" spans="1:45" s="136" customFormat="1" ht="15.75">
      <c r="A63" s="144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35"/>
      <c r="AN63" s="135"/>
      <c r="AO63" s="135"/>
      <c r="AP63" s="135"/>
      <c r="AQ63" s="135"/>
      <c r="AR63" s="135"/>
      <c r="AS63" s="135"/>
    </row>
    <row r="64" spans="1:45" s="153" customFormat="1" ht="15.75">
      <c r="A64" s="151" t="s">
        <v>24</v>
      </c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</row>
    <row r="65" spans="1:45" s="153" customFormat="1" ht="15.75">
      <c r="A65" s="154" t="s">
        <v>6</v>
      </c>
      <c r="B65" s="163" t="e">
        <f>B9/(B105+B106+B107)*1000</f>
        <v>#N/A</v>
      </c>
      <c r="C65" s="163" t="e">
        <f aca="true" t="shared" si="48" ref="C65:AR65">C9/(C105+C106+C107)*1000</f>
        <v>#N/A</v>
      </c>
      <c r="D65" s="163" t="e">
        <f t="shared" si="48"/>
        <v>#N/A</v>
      </c>
      <c r="E65" s="163" t="e">
        <f t="shared" si="48"/>
        <v>#N/A</v>
      </c>
      <c r="F65" s="163" t="e">
        <f t="shared" si="48"/>
        <v>#N/A</v>
      </c>
      <c r="G65" s="163" t="e">
        <f t="shared" si="48"/>
        <v>#N/A</v>
      </c>
      <c r="H65" s="163" t="e">
        <f t="shared" si="48"/>
        <v>#N/A</v>
      </c>
      <c r="I65" s="163" t="e">
        <f t="shared" si="48"/>
        <v>#N/A</v>
      </c>
      <c r="J65" s="163" t="e">
        <f t="shared" si="48"/>
        <v>#N/A</v>
      </c>
      <c r="K65" s="163">
        <f t="shared" si="48"/>
        <v>75</v>
      </c>
      <c r="L65" s="163">
        <f t="shared" si="48"/>
        <v>75.65789473684211</v>
      </c>
      <c r="M65" s="163">
        <f t="shared" si="48"/>
        <v>75.78125</v>
      </c>
      <c r="N65" s="163">
        <f t="shared" si="48"/>
        <v>76.47058823529413</v>
      </c>
      <c r="O65" s="163">
        <f t="shared" si="48"/>
        <v>117.26907630522088</v>
      </c>
      <c r="P65" s="163">
        <f t="shared" si="48"/>
        <v>67.99</v>
      </c>
      <c r="Q65" s="163">
        <f t="shared" si="48"/>
        <v>67.5197891566265</v>
      </c>
      <c r="R65" s="163">
        <f t="shared" si="48"/>
        <v>68.13258647392877</v>
      </c>
      <c r="S65" s="163">
        <f t="shared" si="48"/>
        <v>70.436250580945</v>
      </c>
      <c r="T65" s="163">
        <f t="shared" si="48"/>
        <v>70.53739682539683</v>
      </c>
      <c r="U65" s="163">
        <f t="shared" si="48"/>
        <v>70.39935493037795</v>
      </c>
      <c r="V65" s="163">
        <f t="shared" si="48"/>
        <v>70.22257619738751</v>
      </c>
      <c r="W65" s="163">
        <f t="shared" si="48"/>
        <v>84.90433783783784</v>
      </c>
      <c r="X65" s="163">
        <f t="shared" si="48"/>
        <v>79.76510526315789</v>
      </c>
      <c r="Y65" s="163">
        <f t="shared" si="48"/>
        <v>84.33228813559322</v>
      </c>
      <c r="Z65" s="163">
        <f t="shared" si="48"/>
        <v>87.14983961507617</v>
      </c>
      <c r="AA65" s="163">
        <f t="shared" si="48"/>
        <v>91.59696378269618</v>
      </c>
      <c r="AB65" s="163">
        <f t="shared" si="48"/>
        <v>88.0273843930636</v>
      </c>
      <c r="AC65" s="163">
        <f t="shared" si="48"/>
        <v>76.7843525179856</v>
      </c>
      <c r="AD65" s="163">
        <f t="shared" si="48"/>
        <v>70.20561497326203</v>
      </c>
      <c r="AE65" s="163">
        <f t="shared" si="48"/>
        <v>156.45443890274316</v>
      </c>
      <c r="AF65" s="163">
        <f t="shared" si="48"/>
        <v>179.65713286713287</v>
      </c>
      <c r="AG65" s="163">
        <f t="shared" si="48"/>
        <v>220.8842270531401</v>
      </c>
      <c r="AH65" s="163">
        <f t="shared" si="48"/>
        <v>644.862123197903</v>
      </c>
      <c r="AI65" s="163">
        <f t="shared" si="48"/>
        <v>745.2862064516129</v>
      </c>
      <c r="AJ65" s="163">
        <f t="shared" si="48"/>
        <v>1646.29</v>
      </c>
      <c r="AK65" s="163">
        <f t="shared" si="48"/>
        <v>2398.1359832635985</v>
      </c>
      <c r="AL65" s="163">
        <f t="shared" si="48"/>
        <v>2494.064914772727</v>
      </c>
      <c r="AM65" s="163">
        <f t="shared" si="48"/>
        <v>2421.7041666666664</v>
      </c>
      <c r="AN65" s="163">
        <f t="shared" si="48"/>
        <v>2975.281746724891</v>
      </c>
      <c r="AO65" s="163">
        <f t="shared" si="48"/>
        <v>3125.8289990645458</v>
      </c>
      <c r="AP65" s="163">
        <f t="shared" si="48"/>
        <v>2737.2007999999996</v>
      </c>
      <c r="AQ65" s="163">
        <f t="shared" si="48"/>
        <v>3910.912768361582</v>
      </c>
      <c r="AR65" s="163">
        <f t="shared" si="48"/>
        <v>0</v>
      </c>
      <c r="AS65" s="152"/>
    </row>
    <row r="66" spans="1:45" s="153" customFormat="1" ht="15.75">
      <c r="A66" s="155" t="s">
        <v>7</v>
      </c>
      <c r="B66" s="156" t="e">
        <f>B10/B105*1000</f>
        <v>#N/A</v>
      </c>
      <c r="C66" s="156" t="e">
        <f aca="true" t="shared" si="49" ref="C66:AR66">C10/C105*1000</f>
        <v>#N/A</v>
      </c>
      <c r="D66" s="156" t="e">
        <f t="shared" si="49"/>
        <v>#N/A</v>
      </c>
      <c r="E66" s="156" t="e">
        <f t="shared" si="49"/>
        <v>#N/A</v>
      </c>
      <c r="F66" s="156" t="e">
        <f t="shared" si="49"/>
        <v>#N/A</v>
      </c>
      <c r="G66" s="156" t="e">
        <f t="shared" si="49"/>
        <v>#N/A</v>
      </c>
      <c r="H66" s="156" t="e">
        <f t="shared" si="49"/>
        <v>#N/A</v>
      </c>
      <c r="I66" s="156" t="e">
        <f t="shared" si="49"/>
        <v>#N/A</v>
      </c>
      <c r="J66" s="156" t="e">
        <f t="shared" si="49"/>
        <v>#N/A</v>
      </c>
      <c r="K66" s="156">
        <f t="shared" si="49"/>
        <v>75</v>
      </c>
      <c r="L66" s="156">
        <f t="shared" si="49"/>
        <v>75</v>
      </c>
      <c r="M66" s="156">
        <f t="shared" si="49"/>
        <v>66.66666666666667</v>
      </c>
      <c r="N66" s="156">
        <f t="shared" si="49"/>
        <v>81.81818181818181</v>
      </c>
      <c r="O66" s="156">
        <f t="shared" si="49"/>
        <v>75</v>
      </c>
      <c r="P66" s="156">
        <f t="shared" si="49"/>
        <v>67.99</v>
      </c>
      <c r="Q66" s="156">
        <f t="shared" si="49"/>
        <v>67.54</v>
      </c>
      <c r="R66" s="156">
        <f t="shared" si="49"/>
        <v>68.16</v>
      </c>
      <c r="S66" s="156">
        <f t="shared" si="49"/>
        <v>70.39459901800328</v>
      </c>
      <c r="T66" s="156">
        <f t="shared" si="49"/>
        <v>70.57999999999998</v>
      </c>
      <c r="U66" s="156">
        <f t="shared" si="49"/>
        <v>70.48</v>
      </c>
      <c r="V66" s="156">
        <f t="shared" si="49"/>
        <v>69.97213771016816</v>
      </c>
      <c r="W66" s="156">
        <f t="shared" si="49"/>
        <v>71.43</v>
      </c>
      <c r="X66" s="156">
        <f t="shared" si="49"/>
        <v>79.82999999999998</v>
      </c>
      <c r="Y66" s="156">
        <f t="shared" si="49"/>
        <v>84.39</v>
      </c>
      <c r="Z66" s="156">
        <f t="shared" si="49"/>
        <v>87.2</v>
      </c>
      <c r="AA66" s="156">
        <f t="shared" si="49"/>
        <v>91.64000000000001</v>
      </c>
      <c r="AB66" s="156">
        <f t="shared" si="49"/>
        <v>88.05</v>
      </c>
      <c r="AC66" s="156">
        <f t="shared" si="49"/>
        <v>76.81</v>
      </c>
      <c r="AD66" s="156">
        <f t="shared" si="49"/>
        <v>70.1</v>
      </c>
      <c r="AE66" s="156">
        <f t="shared" si="49"/>
        <v>69.23</v>
      </c>
      <c r="AF66" s="156">
        <f t="shared" si="49"/>
        <v>72.03000000000002</v>
      </c>
      <c r="AG66" s="156">
        <f t="shared" si="49"/>
        <v>66.94</v>
      </c>
      <c r="AH66" s="156">
        <f t="shared" si="49"/>
        <v>67.8</v>
      </c>
      <c r="AI66" s="156">
        <f t="shared" si="49"/>
        <v>65.73</v>
      </c>
      <c r="AJ66" s="156">
        <f t="shared" si="49"/>
        <v>1646.2900000000002</v>
      </c>
      <c r="AK66" s="156">
        <f t="shared" si="49"/>
        <v>1749</v>
      </c>
      <c r="AL66" s="156">
        <f t="shared" si="49"/>
        <v>1747.5</v>
      </c>
      <c r="AM66" s="156">
        <f t="shared" si="49"/>
        <v>1747.5</v>
      </c>
      <c r="AN66" s="156">
        <f t="shared" si="49"/>
        <v>1751.7000000000003</v>
      </c>
      <c r="AO66" s="156">
        <f t="shared" si="49"/>
        <v>1752.5</v>
      </c>
      <c r="AP66" s="156">
        <f t="shared" si="49"/>
        <v>1752.5</v>
      </c>
      <c r="AQ66" s="156">
        <f t="shared" si="49"/>
        <v>1752.5000000000002</v>
      </c>
      <c r="AR66" s="156">
        <f t="shared" si="49"/>
        <v>0</v>
      </c>
      <c r="AS66" s="152"/>
    </row>
    <row r="67" spans="1:45" s="153" customFormat="1" ht="15.75">
      <c r="A67" s="155" t="s">
        <v>8</v>
      </c>
      <c r="B67" s="156" t="e">
        <f>B11/(B106+B107)*1000</f>
        <v>#N/A</v>
      </c>
      <c r="C67" s="156" t="e">
        <f aca="true" t="shared" si="50" ref="C67:AR67">C11/(C106+C107)*1000</f>
        <v>#N/A</v>
      </c>
      <c r="D67" s="156" t="e">
        <f t="shared" si="50"/>
        <v>#N/A</v>
      </c>
      <c r="E67" s="156" t="e">
        <f t="shared" si="50"/>
        <v>#N/A</v>
      </c>
      <c r="F67" s="156" t="e">
        <f t="shared" si="50"/>
        <v>#N/A</v>
      </c>
      <c r="G67" s="156" t="e">
        <f t="shared" si="50"/>
        <v>#N/A</v>
      </c>
      <c r="H67" s="156" t="e">
        <f t="shared" si="50"/>
        <v>#N/A</v>
      </c>
      <c r="I67" s="156" t="e">
        <f t="shared" si="50"/>
        <v>#N/A</v>
      </c>
      <c r="J67" s="156" t="e">
        <f t="shared" si="50"/>
        <v>#N/A</v>
      </c>
      <c r="K67" s="156">
        <f t="shared" si="50"/>
        <v>75</v>
      </c>
      <c r="L67" s="156">
        <f t="shared" si="50"/>
        <v>75.71428571428571</v>
      </c>
      <c r="M67" s="156">
        <f t="shared" si="50"/>
        <v>76.47058823529412</v>
      </c>
      <c r="N67" s="156">
        <f t="shared" si="50"/>
        <v>76.1006289308176</v>
      </c>
      <c r="O67" s="156">
        <f t="shared" si="50"/>
        <v>123.50230414746544</v>
      </c>
      <c r="P67" s="156">
        <f t="shared" si="50"/>
        <v>67.99</v>
      </c>
      <c r="Q67" s="156">
        <f t="shared" si="50"/>
        <v>67.50730816077954</v>
      </c>
      <c r="R67" s="156">
        <f t="shared" si="50"/>
        <v>68.11465414175919</v>
      </c>
      <c r="S67" s="156">
        <f t="shared" si="50"/>
        <v>70.44916235413496</v>
      </c>
      <c r="T67" s="156">
        <f t="shared" si="50"/>
        <v>70.52604090121318</v>
      </c>
      <c r="U67" s="156">
        <f t="shared" si="50"/>
        <v>70.36268292682928</v>
      </c>
      <c r="V67" s="156">
        <f t="shared" si="50"/>
        <v>70.43013934970138</v>
      </c>
      <c r="W67" s="156">
        <f t="shared" si="50"/>
        <v>118.55666417910447</v>
      </c>
      <c r="X67" s="156">
        <f t="shared" si="50"/>
        <v>79.65144422700585</v>
      </c>
      <c r="Y67" s="156">
        <f t="shared" si="50"/>
        <v>84.25379999999998</v>
      </c>
      <c r="Z67" s="156">
        <f t="shared" si="50"/>
        <v>87.06161504424779</v>
      </c>
      <c r="AA67" s="156">
        <f t="shared" si="50"/>
        <v>91.53305499999999</v>
      </c>
      <c r="AB67" s="156">
        <f t="shared" si="50"/>
        <v>87.99765886287625</v>
      </c>
      <c r="AC67" s="156">
        <f t="shared" si="50"/>
        <v>76.73534031413612</v>
      </c>
      <c r="AD67" s="156">
        <f t="shared" si="50"/>
        <v>70.33511904761905</v>
      </c>
      <c r="AE67" s="156">
        <f t="shared" si="50"/>
        <v>265.73</v>
      </c>
      <c r="AF67" s="156">
        <f t="shared" si="50"/>
        <v>284.02283746556475</v>
      </c>
      <c r="AG67" s="156">
        <f t="shared" si="50"/>
        <v>409.5900537634409</v>
      </c>
      <c r="AH67" s="156">
        <f t="shared" si="50"/>
        <v>868.3425454545454</v>
      </c>
      <c r="AI67" s="156">
        <f t="shared" si="50"/>
        <v>1144.943237704918</v>
      </c>
      <c r="AJ67" s="156">
        <f t="shared" si="50"/>
        <v>1646.29</v>
      </c>
      <c r="AK67" s="156">
        <f t="shared" si="50"/>
        <v>2672.473214285714</v>
      </c>
      <c r="AL67" s="156">
        <f t="shared" si="50"/>
        <v>3102.092010309278</v>
      </c>
      <c r="AM67" s="156">
        <f t="shared" si="50"/>
        <v>3356.3963068181815</v>
      </c>
      <c r="AN67" s="156">
        <f t="shared" si="50"/>
        <v>3815.0300441826216</v>
      </c>
      <c r="AO67" s="156">
        <f t="shared" si="50"/>
        <v>3502.307747318235</v>
      </c>
      <c r="AP67" s="156">
        <f t="shared" si="50"/>
        <v>3295.918181818182</v>
      </c>
      <c r="AQ67" s="156">
        <f t="shared" si="50"/>
        <v>4603.537761194029</v>
      </c>
      <c r="AR67" s="156">
        <f t="shared" si="50"/>
        <v>0</v>
      </c>
      <c r="AS67" s="152"/>
    </row>
    <row r="68" spans="1:45" s="153" customFormat="1" ht="15.75">
      <c r="A68" s="157" t="s">
        <v>9</v>
      </c>
      <c r="B68" s="158" t="e">
        <f>B12/B107*1000</f>
        <v>#N/A</v>
      </c>
      <c r="C68" s="158" t="e">
        <f aca="true" t="shared" si="51" ref="C68:AR68">C12/C107*1000</f>
        <v>#N/A</v>
      </c>
      <c r="D68" s="158" t="e">
        <f t="shared" si="51"/>
        <v>#N/A</v>
      </c>
      <c r="E68" s="158" t="e">
        <f t="shared" si="51"/>
        <v>#N/A</v>
      </c>
      <c r="F68" s="158" t="e">
        <f t="shared" si="51"/>
        <v>#N/A</v>
      </c>
      <c r="G68" s="158" t="e">
        <f t="shared" si="51"/>
        <v>#N/A</v>
      </c>
      <c r="H68" s="158" t="e">
        <f t="shared" si="51"/>
        <v>#N/A</v>
      </c>
      <c r="I68" s="158" t="e">
        <f t="shared" si="51"/>
        <v>#N/A</v>
      </c>
      <c r="J68" s="158" t="e">
        <f t="shared" si="51"/>
        <v>#N/A</v>
      </c>
      <c r="K68" s="158">
        <f t="shared" si="51"/>
        <v>75</v>
      </c>
      <c r="L68" s="158">
        <f t="shared" si="51"/>
        <v>75.78947368421053</v>
      </c>
      <c r="M68" s="158">
        <f t="shared" si="51"/>
        <v>76.47058823529413</v>
      </c>
      <c r="N68" s="158">
        <f t="shared" si="51"/>
        <v>76</v>
      </c>
      <c r="O68" s="158">
        <f t="shared" si="51"/>
        <v>155.8139534883721</v>
      </c>
      <c r="P68" s="158">
        <f t="shared" si="51"/>
        <v>67.99</v>
      </c>
      <c r="Q68" s="158">
        <f t="shared" si="51"/>
        <v>67.418</v>
      </c>
      <c r="R68" s="158">
        <f t="shared" si="51"/>
        <v>68.042</v>
      </c>
      <c r="S68" s="158">
        <f t="shared" si="51"/>
        <v>99.22546088193457</v>
      </c>
      <c r="T68" s="158">
        <f t="shared" si="51"/>
        <v>90.72089606458123</v>
      </c>
      <c r="U68" s="158">
        <f t="shared" si="51"/>
        <v>73.30503579952267</v>
      </c>
      <c r="V68" s="158">
        <f t="shared" si="51"/>
        <v>70.35</v>
      </c>
      <c r="W68" s="158">
        <f t="shared" si="51"/>
        <v>126.18410115606937</v>
      </c>
      <c r="X68" s="158">
        <f t="shared" si="51"/>
        <v>79.608</v>
      </c>
      <c r="Y68" s="158">
        <f t="shared" si="51"/>
        <v>84.163</v>
      </c>
      <c r="Z68" s="158">
        <f t="shared" si="51"/>
        <v>86.975</v>
      </c>
      <c r="AA68" s="158">
        <f t="shared" si="51"/>
        <v>91.49399999999999</v>
      </c>
      <c r="AB68" s="158">
        <f t="shared" si="51"/>
        <v>87.98283261802575</v>
      </c>
      <c r="AC68" s="158">
        <f t="shared" si="51"/>
        <v>76.71232876712328</v>
      </c>
      <c r="AD68" s="158">
        <f t="shared" si="51"/>
        <v>70.47619047619048</v>
      </c>
      <c r="AE68" s="158">
        <f t="shared" si="51"/>
        <v>419</v>
      </c>
      <c r="AF68" s="158">
        <f t="shared" si="51"/>
        <v>421.8181818181818</v>
      </c>
      <c r="AG68" s="158">
        <f t="shared" si="51"/>
        <v>582.995951417004</v>
      </c>
      <c r="AH68" s="158">
        <f t="shared" si="51"/>
        <v>1394</v>
      </c>
      <c r="AI68" s="158">
        <f t="shared" si="51"/>
        <v>1458.9999999999998</v>
      </c>
      <c r="AJ68" s="158">
        <f t="shared" si="51"/>
        <v>1646.29</v>
      </c>
      <c r="AK68" s="158">
        <f t="shared" si="51"/>
        <v>2808.0000000000005</v>
      </c>
      <c r="AL68" s="158">
        <f t="shared" si="51"/>
        <v>3236.4</v>
      </c>
      <c r="AM68" s="158">
        <f t="shared" si="51"/>
        <v>3629</v>
      </c>
      <c r="AN68" s="158">
        <f t="shared" si="51"/>
        <v>4090.6000000000004</v>
      </c>
      <c r="AO68" s="158">
        <f t="shared" si="51"/>
        <v>5395.399999999999</v>
      </c>
      <c r="AP68" s="158">
        <f t="shared" si="51"/>
        <v>7906.879999999999</v>
      </c>
      <c r="AQ68" s="158">
        <f t="shared" si="51"/>
        <v>8077.650000000001</v>
      </c>
      <c r="AR68" s="158">
        <f t="shared" si="51"/>
        <v>0</v>
      </c>
      <c r="AS68" s="152"/>
    </row>
    <row r="69" spans="1:45" s="153" customFormat="1" ht="15.75">
      <c r="A69" s="157" t="s">
        <v>10</v>
      </c>
      <c r="B69" s="158" t="e">
        <f>B13/B106*1000</f>
        <v>#N/A</v>
      </c>
      <c r="C69" s="158" t="e">
        <f aca="true" t="shared" si="52" ref="C69:AR69">C13/C106*1000</f>
        <v>#N/A</v>
      </c>
      <c r="D69" s="158" t="e">
        <f t="shared" si="52"/>
        <v>#N/A</v>
      </c>
      <c r="E69" s="158" t="e">
        <f t="shared" si="52"/>
        <v>#N/A</v>
      </c>
      <c r="F69" s="158" t="e">
        <f t="shared" si="52"/>
        <v>#N/A</v>
      </c>
      <c r="G69" s="158" t="e">
        <f t="shared" si="52"/>
        <v>#N/A</v>
      </c>
      <c r="H69" s="158" t="e">
        <f t="shared" si="52"/>
        <v>#N/A</v>
      </c>
      <c r="I69" s="158" t="e">
        <f t="shared" si="52"/>
        <v>#N/A</v>
      </c>
      <c r="J69" s="158" t="e">
        <f t="shared" si="52"/>
        <v>#N/A</v>
      </c>
      <c r="K69" s="158">
        <f t="shared" si="52"/>
        <v>75</v>
      </c>
      <c r="L69" s="158">
        <f t="shared" si="52"/>
        <v>75.55555555555556</v>
      </c>
      <c r="M69" s="158">
        <f t="shared" si="52"/>
        <v>76.47058823529413</v>
      </c>
      <c r="N69" s="158">
        <f t="shared" si="52"/>
        <v>76.27118644067797</v>
      </c>
      <c r="O69" s="158">
        <f t="shared" si="52"/>
        <v>76.13636363636364</v>
      </c>
      <c r="P69" s="158">
        <f t="shared" si="52"/>
        <v>67.99</v>
      </c>
      <c r="Q69" s="158">
        <f t="shared" si="52"/>
        <v>67.54</v>
      </c>
      <c r="R69" s="158">
        <f t="shared" si="52"/>
        <v>68.16</v>
      </c>
      <c r="S69" s="158">
        <f t="shared" si="52"/>
        <v>54.49511041009464</v>
      </c>
      <c r="T69" s="158">
        <f t="shared" si="52"/>
        <v>59.95946145723337</v>
      </c>
      <c r="U69" s="158">
        <f t="shared" si="52"/>
        <v>51.33728395061729</v>
      </c>
      <c r="V69" s="158">
        <f t="shared" si="52"/>
        <v>70.48</v>
      </c>
      <c r="W69" s="158">
        <f t="shared" si="52"/>
        <v>71.43</v>
      </c>
      <c r="X69" s="158">
        <f t="shared" si="52"/>
        <v>79.83</v>
      </c>
      <c r="Y69" s="158">
        <f t="shared" si="52"/>
        <v>84.39</v>
      </c>
      <c r="Z69" s="158">
        <f t="shared" si="52"/>
        <v>87.2</v>
      </c>
      <c r="AA69" s="158">
        <f t="shared" si="52"/>
        <v>91.64</v>
      </c>
      <c r="AB69" s="158">
        <f t="shared" si="52"/>
        <v>88.05</v>
      </c>
      <c r="AC69" s="158">
        <f t="shared" si="52"/>
        <v>76.81</v>
      </c>
      <c r="AD69" s="158">
        <f t="shared" si="52"/>
        <v>70.1</v>
      </c>
      <c r="AE69" s="158">
        <f t="shared" si="52"/>
        <v>69.23000000000002</v>
      </c>
      <c r="AF69" s="158">
        <f t="shared" si="52"/>
        <v>72.03</v>
      </c>
      <c r="AG69" s="158">
        <f t="shared" si="52"/>
        <v>66.94</v>
      </c>
      <c r="AH69" s="158">
        <f t="shared" si="52"/>
        <v>67.8</v>
      </c>
      <c r="AI69" s="158">
        <f t="shared" si="52"/>
        <v>65.73</v>
      </c>
      <c r="AJ69" s="158">
        <f t="shared" si="52"/>
        <v>1646.29</v>
      </c>
      <c r="AK69" s="158">
        <f t="shared" si="52"/>
        <v>1749</v>
      </c>
      <c r="AL69" s="158">
        <f t="shared" si="52"/>
        <v>1747.5</v>
      </c>
      <c r="AM69" s="158">
        <f t="shared" si="52"/>
        <v>1747.5</v>
      </c>
      <c r="AN69" s="158">
        <f t="shared" si="52"/>
        <v>1751.7</v>
      </c>
      <c r="AO69" s="158">
        <f t="shared" si="52"/>
        <v>1752.5000000000002</v>
      </c>
      <c r="AP69" s="158">
        <f t="shared" si="52"/>
        <v>1752.5000000000002</v>
      </c>
      <c r="AQ69" s="158">
        <f t="shared" si="52"/>
        <v>1752.5</v>
      </c>
      <c r="AR69" s="158">
        <f t="shared" si="52"/>
        <v>0</v>
      </c>
      <c r="AS69" s="152"/>
    </row>
    <row r="70" spans="1:45" s="153" customFormat="1" ht="15.75">
      <c r="A70" s="154" t="s">
        <v>11</v>
      </c>
      <c r="B70" s="163" t="e">
        <f>B14/(B118+B119+B120)*1000</f>
        <v>#N/A</v>
      </c>
      <c r="C70" s="163" t="e">
        <f aca="true" t="shared" si="53" ref="C70:AR70">C14/(C118+C119+C120)*1000</f>
        <v>#N/A</v>
      </c>
      <c r="D70" s="163" t="e">
        <f t="shared" si="53"/>
        <v>#N/A</v>
      </c>
      <c r="E70" s="163" t="e">
        <f t="shared" si="53"/>
        <v>#N/A</v>
      </c>
      <c r="F70" s="163" t="e">
        <f t="shared" si="53"/>
        <v>#N/A</v>
      </c>
      <c r="G70" s="163" t="e">
        <f t="shared" si="53"/>
        <v>#N/A</v>
      </c>
      <c r="H70" s="163" t="e">
        <f t="shared" si="53"/>
        <v>#N/A</v>
      </c>
      <c r="I70" s="163" t="e">
        <f t="shared" si="53"/>
        <v>#N/A</v>
      </c>
      <c r="J70" s="163" t="e">
        <f t="shared" si="53"/>
        <v>#N/A</v>
      </c>
      <c r="K70" s="163">
        <f t="shared" si="53"/>
        <v>41.91096634093377</v>
      </c>
      <c r="L70" s="163">
        <f t="shared" si="53"/>
        <v>42.11502782931354</v>
      </c>
      <c r="M70" s="163">
        <f t="shared" si="53"/>
        <v>39.52191235059761</v>
      </c>
      <c r="N70" s="163">
        <f t="shared" si="53"/>
        <v>34.97041420118344</v>
      </c>
      <c r="O70" s="163">
        <f t="shared" si="53"/>
        <v>29.867482161060146</v>
      </c>
      <c r="P70" s="163">
        <f t="shared" si="53"/>
        <v>67.99</v>
      </c>
      <c r="Q70" s="163">
        <f t="shared" si="53"/>
        <v>67.56340935828878</v>
      </c>
      <c r="R70" s="163">
        <f t="shared" si="53"/>
        <v>68.16511581868639</v>
      </c>
      <c r="S70" s="163">
        <f t="shared" si="53"/>
        <v>74.16251280120483</v>
      </c>
      <c r="T70" s="163">
        <f t="shared" si="53"/>
        <v>70.63751107053184</v>
      </c>
      <c r="U70" s="163">
        <f t="shared" si="53"/>
        <v>70.5404984525167</v>
      </c>
      <c r="V70" s="163">
        <f t="shared" si="53"/>
        <v>70.47098419173892</v>
      </c>
      <c r="W70" s="163">
        <f t="shared" si="53"/>
        <v>71.44363532110093</v>
      </c>
      <c r="X70" s="163">
        <f t="shared" si="53"/>
        <v>79.84799999999998</v>
      </c>
      <c r="Y70" s="163">
        <f t="shared" si="53"/>
        <v>84.32477977315689</v>
      </c>
      <c r="Z70" s="163">
        <f t="shared" si="53"/>
        <v>87.21258238420653</v>
      </c>
      <c r="AA70" s="163">
        <f t="shared" si="53"/>
        <v>91.65784428442844</v>
      </c>
      <c r="AB70" s="163">
        <f t="shared" si="53"/>
        <v>97.74602803738317</v>
      </c>
      <c r="AC70" s="163">
        <f t="shared" si="53"/>
        <v>92.18692211055277</v>
      </c>
      <c r="AD70" s="163">
        <f t="shared" si="53"/>
        <v>78.07698924731183</v>
      </c>
      <c r="AE70" s="163">
        <f t="shared" si="53"/>
        <v>76.64651656754461</v>
      </c>
      <c r="AF70" s="163">
        <f t="shared" si="53"/>
        <v>82.64736284289278</v>
      </c>
      <c r="AG70" s="163">
        <f t="shared" si="53"/>
        <v>132.23274939172745</v>
      </c>
      <c r="AH70" s="163">
        <f t="shared" si="53"/>
        <v>178.67420526793822</v>
      </c>
      <c r="AI70" s="163">
        <f t="shared" si="53"/>
        <v>196.43272768670312</v>
      </c>
      <c r="AJ70" s="163">
        <f t="shared" si="53"/>
        <v>1198.7207357247437</v>
      </c>
      <c r="AK70" s="163">
        <f t="shared" si="53"/>
        <v>1470.4692804825506</v>
      </c>
      <c r="AL70" s="163">
        <f t="shared" si="53"/>
        <v>1744.3389763779526</v>
      </c>
      <c r="AM70" s="163">
        <f t="shared" si="53"/>
        <v>1806.4055909759686</v>
      </c>
      <c r="AN70" s="163">
        <f t="shared" si="53"/>
        <v>1812.889953488372</v>
      </c>
      <c r="AO70" s="163">
        <f t="shared" si="53"/>
        <v>1821.4575645756458</v>
      </c>
      <c r="AP70" s="163">
        <f t="shared" si="53"/>
        <v>1810.097619047619</v>
      </c>
      <c r="AQ70" s="163">
        <f t="shared" si="53"/>
        <v>2152.5422582826236</v>
      </c>
      <c r="AR70" s="163">
        <f t="shared" si="53"/>
        <v>0</v>
      </c>
      <c r="AS70" s="152"/>
    </row>
    <row r="71" spans="1:45" s="153" customFormat="1" ht="15.75">
      <c r="A71" s="159" t="s">
        <v>7</v>
      </c>
      <c r="B71" s="156" t="e">
        <f>B15/B118*1000</f>
        <v>#N/A</v>
      </c>
      <c r="C71" s="156" t="e">
        <f aca="true" t="shared" si="54" ref="C71:AR71">C15/C118*1000</f>
        <v>#N/A</v>
      </c>
      <c r="D71" s="156" t="e">
        <f t="shared" si="54"/>
        <v>#N/A</v>
      </c>
      <c r="E71" s="156" t="e">
        <f t="shared" si="54"/>
        <v>#N/A</v>
      </c>
      <c r="F71" s="156" t="e">
        <f t="shared" si="54"/>
        <v>#N/A</v>
      </c>
      <c r="G71" s="156" t="e">
        <f t="shared" si="54"/>
        <v>#N/A</v>
      </c>
      <c r="H71" s="156" t="e">
        <f t="shared" si="54"/>
        <v>#N/A</v>
      </c>
      <c r="I71" s="156" t="e">
        <f t="shared" si="54"/>
        <v>#N/A</v>
      </c>
      <c r="J71" s="156" t="e">
        <f t="shared" si="54"/>
        <v>#N/A</v>
      </c>
      <c r="K71" s="156">
        <f t="shared" si="54"/>
        <v>30.30746705710102</v>
      </c>
      <c r="L71" s="156">
        <f t="shared" si="54"/>
        <v>31.668696711327645</v>
      </c>
      <c r="M71" s="156">
        <f t="shared" si="54"/>
        <v>30.486593843098312</v>
      </c>
      <c r="N71" s="156">
        <f t="shared" si="54"/>
        <v>25.706010137581462</v>
      </c>
      <c r="O71" s="156">
        <f t="shared" si="54"/>
        <v>25.728155339805824</v>
      </c>
      <c r="P71" s="156">
        <f t="shared" si="54"/>
        <v>67.99</v>
      </c>
      <c r="Q71" s="156">
        <f t="shared" si="54"/>
        <v>67.54</v>
      </c>
      <c r="R71" s="156">
        <f t="shared" si="54"/>
        <v>68.16</v>
      </c>
      <c r="S71" s="156">
        <f t="shared" si="54"/>
        <v>70.82713643178411</v>
      </c>
      <c r="T71" s="156">
        <f t="shared" si="54"/>
        <v>70.99517647058825</v>
      </c>
      <c r="U71" s="156">
        <f t="shared" si="54"/>
        <v>70.48</v>
      </c>
      <c r="V71" s="156">
        <f t="shared" si="54"/>
        <v>70.39167919799499</v>
      </c>
      <c r="W71" s="156">
        <f t="shared" si="54"/>
        <v>71.43</v>
      </c>
      <c r="X71" s="156">
        <f t="shared" si="54"/>
        <v>79.83</v>
      </c>
      <c r="Y71" s="156">
        <f t="shared" si="54"/>
        <v>84.39</v>
      </c>
      <c r="Z71" s="156">
        <f t="shared" si="54"/>
        <v>87.20000000000002</v>
      </c>
      <c r="AA71" s="156">
        <f t="shared" si="54"/>
        <v>91.64</v>
      </c>
      <c r="AB71" s="156">
        <f t="shared" si="54"/>
        <v>88.05</v>
      </c>
      <c r="AC71" s="156">
        <f t="shared" si="54"/>
        <v>76.81</v>
      </c>
      <c r="AD71" s="156">
        <f t="shared" si="54"/>
        <v>70.1</v>
      </c>
      <c r="AE71" s="156">
        <f t="shared" si="54"/>
        <v>69.23</v>
      </c>
      <c r="AF71" s="156">
        <f t="shared" si="54"/>
        <v>72.03</v>
      </c>
      <c r="AG71" s="156">
        <f t="shared" si="54"/>
        <v>66.94</v>
      </c>
      <c r="AH71" s="156">
        <f t="shared" si="54"/>
        <v>67.8</v>
      </c>
      <c r="AI71" s="156">
        <f t="shared" si="54"/>
        <v>65.73</v>
      </c>
      <c r="AJ71" s="156">
        <f t="shared" si="54"/>
        <v>1646.29</v>
      </c>
      <c r="AK71" s="156">
        <f t="shared" si="54"/>
        <v>1749</v>
      </c>
      <c r="AL71" s="156">
        <f t="shared" si="54"/>
        <v>1747.5</v>
      </c>
      <c r="AM71" s="156">
        <f t="shared" si="54"/>
        <v>1747.5</v>
      </c>
      <c r="AN71" s="156">
        <f t="shared" si="54"/>
        <v>1751.7</v>
      </c>
      <c r="AO71" s="156">
        <f t="shared" si="54"/>
        <v>1752.5000000000002</v>
      </c>
      <c r="AP71" s="156">
        <f t="shared" si="54"/>
        <v>1752.5</v>
      </c>
      <c r="AQ71" s="156">
        <f t="shared" si="54"/>
        <v>1752.5</v>
      </c>
      <c r="AR71" s="156">
        <f t="shared" si="54"/>
        <v>0</v>
      </c>
      <c r="AS71" s="152"/>
    </row>
    <row r="72" spans="1:45" s="153" customFormat="1" ht="15.75">
      <c r="A72" s="159" t="s">
        <v>8</v>
      </c>
      <c r="B72" s="156" t="e">
        <f>B16/(B120+B119)*1000</f>
        <v>#N/A</v>
      </c>
      <c r="C72" s="156" t="e">
        <f aca="true" t="shared" si="55" ref="C72:AR72">C16/(C120+C119)*1000</f>
        <v>#N/A</v>
      </c>
      <c r="D72" s="156" t="e">
        <f t="shared" si="55"/>
        <v>#N/A</v>
      </c>
      <c r="E72" s="156" t="e">
        <f t="shared" si="55"/>
        <v>#N/A</v>
      </c>
      <c r="F72" s="156" t="e">
        <f t="shared" si="55"/>
        <v>#N/A</v>
      </c>
      <c r="G72" s="156" t="e">
        <f t="shared" si="55"/>
        <v>#N/A</v>
      </c>
      <c r="H72" s="156" t="e">
        <f t="shared" si="55"/>
        <v>#N/A</v>
      </c>
      <c r="I72" s="156" t="e">
        <f t="shared" si="55"/>
        <v>#N/A</v>
      </c>
      <c r="J72" s="156" t="e">
        <f t="shared" si="55"/>
        <v>#N/A</v>
      </c>
      <c r="K72" s="156">
        <f t="shared" si="55"/>
        <v>75.21008403361344</v>
      </c>
      <c r="L72" s="156">
        <f t="shared" si="55"/>
        <v>75.4863813229572</v>
      </c>
      <c r="M72" s="156">
        <f t="shared" si="55"/>
        <v>76.20967741935483</v>
      </c>
      <c r="N72" s="156">
        <f t="shared" si="55"/>
        <v>76.37540453074435</v>
      </c>
      <c r="O72" s="156">
        <f t="shared" si="55"/>
        <v>51.59235668789808</v>
      </c>
      <c r="P72" s="156">
        <f t="shared" si="55"/>
        <v>67.99</v>
      </c>
      <c r="Q72" s="156">
        <f t="shared" si="55"/>
        <v>67.588038957476</v>
      </c>
      <c r="R72" s="156">
        <f t="shared" si="55"/>
        <v>68.16742308724832</v>
      </c>
      <c r="S72" s="156">
        <f t="shared" si="55"/>
        <v>75.28101256913023</v>
      </c>
      <c r="T72" s="156">
        <f t="shared" si="55"/>
        <v>70.57179573088354</v>
      </c>
      <c r="U72" s="156">
        <f t="shared" si="55"/>
        <v>70.54930397462212</v>
      </c>
      <c r="V72" s="156">
        <f t="shared" si="55"/>
        <v>70.52539982803096</v>
      </c>
      <c r="W72" s="156">
        <f t="shared" si="55"/>
        <v>71.44959890109891</v>
      </c>
      <c r="X72" s="156">
        <f t="shared" si="55"/>
        <v>79.85494249649368</v>
      </c>
      <c r="Y72" s="156">
        <f t="shared" si="55"/>
        <v>84.30696389891695</v>
      </c>
      <c r="Z72" s="156">
        <f t="shared" si="55"/>
        <v>87.21462577228596</v>
      </c>
      <c r="AA72" s="156">
        <f t="shared" si="55"/>
        <v>91.66048037190082</v>
      </c>
      <c r="AB72" s="156">
        <f t="shared" si="55"/>
        <v>98.74561855670103</v>
      </c>
      <c r="AC72" s="156">
        <f t="shared" si="55"/>
        <v>93.57716438356165</v>
      </c>
      <c r="AD72" s="156">
        <f t="shared" si="55"/>
        <v>78.6863425925926</v>
      </c>
      <c r="AE72" s="156">
        <f t="shared" si="55"/>
        <v>77.20190867579909</v>
      </c>
      <c r="AF72" s="156">
        <f t="shared" si="55"/>
        <v>83.38350000000001</v>
      </c>
      <c r="AG72" s="156">
        <f t="shared" si="55"/>
        <v>135.4848786717752</v>
      </c>
      <c r="AH72" s="156">
        <f t="shared" si="55"/>
        <v>183.12593292394897</v>
      </c>
      <c r="AI72" s="156">
        <f t="shared" si="55"/>
        <v>206.49664541441885</v>
      </c>
      <c r="AJ72" s="156">
        <f t="shared" si="55"/>
        <v>1173.9998377752026</v>
      </c>
      <c r="AK72" s="156">
        <f t="shared" si="55"/>
        <v>1410.1793501048217</v>
      </c>
      <c r="AL72" s="156">
        <f t="shared" si="55"/>
        <v>1741.78831300813</v>
      </c>
      <c r="AM72" s="156">
        <f t="shared" si="55"/>
        <v>1852.7659947414547</v>
      </c>
      <c r="AN72" s="156">
        <f t="shared" si="55"/>
        <v>1844.021684210526</v>
      </c>
      <c r="AO72" s="156">
        <f t="shared" si="55"/>
        <v>1877.7793296089385</v>
      </c>
      <c r="AP72" s="156">
        <f t="shared" si="55"/>
        <v>1857.313691507799</v>
      </c>
      <c r="AQ72" s="156">
        <f t="shared" si="55"/>
        <v>2286.009918845807</v>
      </c>
      <c r="AR72" s="156">
        <f t="shared" si="55"/>
        <v>0</v>
      </c>
      <c r="AS72" s="152"/>
    </row>
    <row r="73" spans="1:45" s="153" customFormat="1" ht="15.75">
      <c r="A73" s="157" t="s">
        <v>9</v>
      </c>
      <c r="B73" s="158" t="e">
        <f>B17/B120*1000</f>
        <v>#N/A</v>
      </c>
      <c r="C73" s="158" t="e">
        <f aca="true" t="shared" si="56" ref="C73:AR73">C17/C120*1000</f>
        <v>#N/A</v>
      </c>
      <c r="D73" s="158" t="e">
        <f t="shared" si="56"/>
        <v>#N/A</v>
      </c>
      <c r="E73" s="158" t="e">
        <f t="shared" si="56"/>
        <v>#N/A</v>
      </c>
      <c r="F73" s="158" t="e">
        <f t="shared" si="56"/>
        <v>#N/A</v>
      </c>
      <c r="G73" s="158" t="e">
        <f t="shared" si="56"/>
        <v>#N/A</v>
      </c>
      <c r="H73" s="158" t="e">
        <f t="shared" si="56"/>
        <v>#N/A</v>
      </c>
      <c r="I73" s="158" t="e">
        <f t="shared" si="56"/>
        <v>#N/A</v>
      </c>
      <c r="J73" s="158" t="e">
        <f t="shared" si="56"/>
        <v>#N/A</v>
      </c>
      <c r="K73" s="158">
        <f t="shared" si="56"/>
        <v>75.43859649122807</v>
      </c>
      <c r="L73" s="158">
        <f t="shared" si="56"/>
        <v>75.79617834394904</v>
      </c>
      <c r="M73" s="158">
        <f t="shared" si="56"/>
        <v>75.9493670886076</v>
      </c>
      <c r="N73" s="158">
        <f t="shared" si="56"/>
        <v>76.4367816091954</v>
      </c>
      <c r="O73" s="158">
        <f t="shared" si="56"/>
        <v>34.946236559139784</v>
      </c>
      <c r="P73" s="158">
        <f t="shared" si="56"/>
        <v>67.99</v>
      </c>
      <c r="Q73" s="158">
        <f t="shared" si="56"/>
        <v>67.84452521739132</v>
      </c>
      <c r="R73" s="158">
        <f t="shared" si="56"/>
        <v>68.20627782426777</v>
      </c>
      <c r="S73" s="158">
        <f t="shared" si="56"/>
        <v>70.47623732718894</v>
      </c>
      <c r="T73" s="158">
        <f t="shared" si="56"/>
        <v>70.55861690140846</v>
      </c>
      <c r="U73" s="158">
        <f t="shared" si="56"/>
        <v>70.6</v>
      </c>
      <c r="V73" s="158">
        <f t="shared" si="56"/>
        <v>70.76082004555808</v>
      </c>
      <c r="W73" s="158">
        <f t="shared" si="56"/>
        <v>71.635</v>
      </c>
      <c r="X73" s="158">
        <f t="shared" si="56"/>
        <v>80.058</v>
      </c>
      <c r="Y73" s="158">
        <f t="shared" si="56"/>
        <v>83.40424285714286</v>
      </c>
      <c r="Z73" s="158">
        <f t="shared" si="56"/>
        <v>87.427</v>
      </c>
      <c r="AA73" s="158">
        <f t="shared" si="56"/>
        <v>91.94499999999998</v>
      </c>
      <c r="AB73" s="158">
        <f t="shared" si="56"/>
        <v>207.30000000000004</v>
      </c>
      <c r="AC73" s="158">
        <f t="shared" si="56"/>
        <v>217.5</v>
      </c>
      <c r="AD73" s="158">
        <f t="shared" si="56"/>
        <v>221.5</v>
      </c>
      <c r="AE73" s="158">
        <f t="shared" si="56"/>
        <v>237.09999999999997</v>
      </c>
      <c r="AF73" s="158">
        <f t="shared" si="56"/>
        <v>299.1</v>
      </c>
      <c r="AG73" s="158">
        <f t="shared" si="56"/>
        <v>394.19999999999993</v>
      </c>
      <c r="AH73" s="158">
        <f t="shared" si="56"/>
        <v>511.70000000000005</v>
      </c>
      <c r="AI73" s="158">
        <f t="shared" si="56"/>
        <v>655.1</v>
      </c>
      <c r="AJ73" s="158">
        <f t="shared" si="56"/>
        <v>890.1</v>
      </c>
      <c r="AK73" s="158">
        <f t="shared" si="56"/>
        <v>1221.7</v>
      </c>
      <c r="AL73" s="158">
        <f t="shared" si="56"/>
        <v>1725.8000000000002</v>
      </c>
      <c r="AM73" s="158">
        <f t="shared" si="56"/>
        <v>2194</v>
      </c>
      <c r="AN73" s="158">
        <f t="shared" si="56"/>
        <v>2779.5</v>
      </c>
      <c r="AO73" s="158">
        <f t="shared" si="56"/>
        <v>3190</v>
      </c>
      <c r="AP73" s="158">
        <f t="shared" si="56"/>
        <v>4171.6</v>
      </c>
      <c r="AQ73" s="158">
        <f t="shared" si="56"/>
        <v>5890</v>
      </c>
      <c r="AR73" s="158">
        <f t="shared" si="56"/>
        <v>0</v>
      </c>
      <c r="AS73" s="152"/>
    </row>
    <row r="74" spans="1:45" s="153" customFormat="1" ht="15.75">
      <c r="A74" s="157" t="s">
        <v>10</v>
      </c>
      <c r="B74" s="158" t="e">
        <f>B18/B119*1000</f>
        <v>#N/A</v>
      </c>
      <c r="C74" s="158" t="e">
        <f aca="true" t="shared" si="57" ref="C74:AR74">C18/C119*1000</f>
        <v>#N/A</v>
      </c>
      <c r="D74" s="158" t="e">
        <f t="shared" si="57"/>
        <v>#N/A</v>
      </c>
      <c r="E74" s="158" t="e">
        <f t="shared" si="57"/>
        <v>#N/A</v>
      </c>
      <c r="F74" s="158" t="e">
        <f t="shared" si="57"/>
        <v>#N/A</v>
      </c>
      <c r="G74" s="158" t="e">
        <f t="shared" si="57"/>
        <v>#N/A</v>
      </c>
      <c r="H74" s="158" t="e">
        <f t="shared" si="57"/>
        <v>#N/A</v>
      </c>
      <c r="I74" s="158" t="e">
        <f t="shared" si="57"/>
        <v>#N/A</v>
      </c>
      <c r="J74" s="158" t="e">
        <f t="shared" si="57"/>
        <v>#N/A</v>
      </c>
      <c r="K74" s="158">
        <f t="shared" si="57"/>
        <v>75.00000000000001</v>
      </c>
      <c r="L74" s="158">
        <f t="shared" si="57"/>
        <v>75</v>
      </c>
      <c r="M74" s="158">
        <f t="shared" si="57"/>
        <v>76.66666666666667</v>
      </c>
      <c r="N74" s="158">
        <f t="shared" si="57"/>
        <v>76.2962962962963</v>
      </c>
      <c r="O74" s="158">
        <f t="shared" si="57"/>
        <v>75.78125</v>
      </c>
      <c r="P74" s="158">
        <f t="shared" si="57"/>
        <v>67.99</v>
      </c>
      <c r="Q74" s="158">
        <f t="shared" si="57"/>
        <v>67.54000000000002</v>
      </c>
      <c r="R74" s="158">
        <f t="shared" si="57"/>
        <v>68.16</v>
      </c>
      <c r="S74" s="158">
        <f t="shared" si="57"/>
        <v>79.00139161462981</v>
      </c>
      <c r="T74" s="158">
        <f t="shared" si="57"/>
        <v>70.58</v>
      </c>
      <c r="U74" s="158">
        <f t="shared" si="57"/>
        <v>70.48</v>
      </c>
      <c r="V74" s="158">
        <f t="shared" si="57"/>
        <v>70.38265193370167</v>
      </c>
      <c r="W74" s="158">
        <f t="shared" si="57"/>
        <v>71.43</v>
      </c>
      <c r="X74" s="158">
        <f t="shared" si="57"/>
        <v>79.83</v>
      </c>
      <c r="Y74" s="158">
        <f t="shared" si="57"/>
        <v>84.38999999999999</v>
      </c>
      <c r="Z74" s="158">
        <f t="shared" si="57"/>
        <v>87.2</v>
      </c>
      <c r="AA74" s="158">
        <f t="shared" si="57"/>
        <v>91.64</v>
      </c>
      <c r="AB74" s="158">
        <f t="shared" si="57"/>
        <v>88.04999999999998</v>
      </c>
      <c r="AC74" s="158">
        <f t="shared" si="57"/>
        <v>76.81</v>
      </c>
      <c r="AD74" s="158">
        <f t="shared" si="57"/>
        <v>70.1</v>
      </c>
      <c r="AE74" s="158">
        <f t="shared" si="57"/>
        <v>69.23</v>
      </c>
      <c r="AF74" s="158">
        <f t="shared" si="57"/>
        <v>72.03000000000002</v>
      </c>
      <c r="AG74" s="158">
        <f t="shared" si="57"/>
        <v>66.94</v>
      </c>
      <c r="AH74" s="158">
        <f t="shared" si="57"/>
        <v>67.8</v>
      </c>
      <c r="AI74" s="158">
        <f t="shared" si="57"/>
        <v>65.73</v>
      </c>
      <c r="AJ74" s="158">
        <f t="shared" si="57"/>
        <v>1646.2899999999997</v>
      </c>
      <c r="AK74" s="158">
        <f t="shared" si="57"/>
        <v>1749</v>
      </c>
      <c r="AL74" s="158">
        <f t="shared" si="57"/>
        <v>1747.5</v>
      </c>
      <c r="AM74" s="158">
        <f t="shared" si="57"/>
        <v>1747.4999999999998</v>
      </c>
      <c r="AN74" s="158">
        <f t="shared" si="57"/>
        <v>1751.6999999999998</v>
      </c>
      <c r="AO74" s="158">
        <f t="shared" si="57"/>
        <v>1752.5</v>
      </c>
      <c r="AP74" s="158">
        <f t="shared" si="57"/>
        <v>1752.5</v>
      </c>
      <c r="AQ74" s="158">
        <f t="shared" si="57"/>
        <v>1752.5</v>
      </c>
      <c r="AR74" s="158">
        <f t="shared" si="57"/>
        <v>0</v>
      </c>
      <c r="AS74" s="152"/>
    </row>
    <row r="75" spans="1:45" s="153" customFormat="1" ht="16.5" thickBot="1">
      <c r="A75" s="160" t="s">
        <v>12</v>
      </c>
      <c r="B75" s="164" t="e">
        <f>B19/(B106+B107+B105-B118-B119-B120)*1000</f>
        <v>#N/A</v>
      </c>
      <c r="C75" s="164" t="e">
        <f aca="true" t="shared" si="58" ref="C75:AR75">C19/(C106+C107+C105-C118-C119-C120)*1000</f>
        <v>#N/A</v>
      </c>
      <c r="D75" s="164" t="e">
        <f t="shared" si="58"/>
        <v>#N/A</v>
      </c>
      <c r="E75" s="164" t="e">
        <f t="shared" si="58"/>
        <v>#N/A</v>
      </c>
      <c r="F75" s="164" t="e">
        <f t="shared" si="58"/>
        <v>#N/A</v>
      </c>
      <c r="G75" s="164" t="e">
        <f t="shared" si="58"/>
        <v>#N/A</v>
      </c>
      <c r="H75" s="164" t="e">
        <f t="shared" si="58"/>
        <v>#N/A</v>
      </c>
      <c r="I75" s="164" t="e">
        <f t="shared" si="58"/>
        <v>#N/A</v>
      </c>
      <c r="J75" s="164" t="e">
        <f t="shared" si="58"/>
        <v>#N/A</v>
      </c>
      <c r="K75" s="164">
        <f t="shared" si="58"/>
        <v>36.56998738965952</v>
      </c>
      <c r="L75" s="164">
        <f t="shared" si="58"/>
        <v>36.60907127429806</v>
      </c>
      <c r="M75" s="164">
        <f t="shared" si="58"/>
        <v>35.40372670807454</v>
      </c>
      <c r="N75" s="164">
        <f t="shared" si="58"/>
        <v>30.32894736842105</v>
      </c>
      <c r="O75" s="164">
        <f t="shared" si="58"/>
        <v>17.162872154115586</v>
      </c>
      <c r="P75" s="164">
        <f t="shared" si="58"/>
        <v>67.99</v>
      </c>
      <c r="Q75" s="164">
        <f t="shared" si="58"/>
        <v>67.9082166666667</v>
      </c>
      <c r="R75" s="164">
        <f t="shared" si="58"/>
        <v>68.44515733333323</v>
      </c>
      <c r="S75" s="164">
        <f t="shared" si="58"/>
        <v>204.17885135135154</v>
      </c>
      <c r="T75" s="164">
        <f t="shared" si="58"/>
        <v>71.14069876203577</v>
      </c>
      <c r="U75" s="164">
        <f t="shared" si="58"/>
        <v>70.73007251908395</v>
      </c>
      <c r="V75" s="164">
        <f t="shared" si="58"/>
        <v>69.60983647798743</v>
      </c>
      <c r="W75" s="164">
        <f t="shared" si="58"/>
        <v>264.5635102040816</v>
      </c>
      <c r="X75" s="164">
        <f t="shared" si="58"/>
        <v>79.56917224880382</v>
      </c>
      <c r="Y75" s="164">
        <f t="shared" si="58"/>
        <v>86.31825000000148</v>
      </c>
      <c r="Z75" s="164">
        <f t="shared" si="58"/>
        <v>88.3303</v>
      </c>
      <c r="AA75" s="164">
        <f t="shared" si="58"/>
        <v>92.17506837606832</v>
      </c>
      <c r="AB75" s="164">
        <f t="shared" si="58"/>
        <v>115.53783068783065</v>
      </c>
      <c r="AC75" s="164">
        <f t="shared" si="58"/>
        <v>127.86954166666669</v>
      </c>
      <c r="AD75" s="164">
        <f t="shared" si="58"/>
        <v>83.37176258992805</v>
      </c>
      <c r="AE75" s="164">
        <f t="shared" si="58"/>
        <v>35.405567010309284</v>
      </c>
      <c r="AF75" s="164">
        <f t="shared" si="58"/>
        <v>4.6248818897637936</v>
      </c>
      <c r="AG75" s="164">
        <f t="shared" si="58"/>
        <v>42.277573529411704</v>
      </c>
      <c r="AH75" s="164">
        <f t="shared" si="58"/>
        <v>-68.51230020847811</v>
      </c>
      <c r="AI75" s="164">
        <f t="shared" si="58"/>
        <v>-102.90678395496127</v>
      </c>
      <c r="AJ75" s="164">
        <f t="shared" si="58"/>
        <v>875.8052930056707</v>
      </c>
      <c r="AK75" s="164">
        <f t="shared" si="58"/>
        <v>1229.8698860553445</v>
      </c>
      <c r="AL75" s="164">
        <f t="shared" si="58"/>
        <v>1252.8985102420856</v>
      </c>
      <c r="AM75" s="164">
        <f t="shared" si="58"/>
        <v>1375.3373644703922</v>
      </c>
      <c r="AN75" s="164">
        <f t="shared" si="58"/>
        <v>488.5729353233823</v>
      </c>
      <c r="AO75" s="164">
        <f t="shared" si="58"/>
        <v>-681.9052064631946</v>
      </c>
      <c r="AP75" s="164">
        <f t="shared" si="58"/>
        <v>967.2765454545457</v>
      </c>
      <c r="AQ75" s="164">
        <f t="shared" si="58"/>
        <v>-467.2521885521883</v>
      </c>
      <c r="AR75" s="164">
        <f t="shared" si="58"/>
        <v>0</v>
      </c>
      <c r="AS75" s="152"/>
    </row>
    <row r="76" spans="1:45" s="153" customFormat="1" ht="17.25" thickBot="1" thickTop="1">
      <c r="A76" s="161"/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52"/>
    </row>
    <row r="77" spans="1:45" s="153" customFormat="1" ht="16.5" thickTop="1">
      <c r="A77" s="154" t="s">
        <v>13</v>
      </c>
      <c r="B77" s="163" t="e">
        <f>B21/(B94+B103+B104)*1000</f>
        <v>#N/A</v>
      </c>
      <c r="C77" s="163" t="e">
        <f aca="true" t="shared" si="59" ref="C77:AR77">C21/(C94+C103+C104)*1000</f>
        <v>#N/A</v>
      </c>
      <c r="D77" s="163" t="e">
        <f t="shared" si="59"/>
        <v>#N/A</v>
      </c>
      <c r="E77" s="163" t="e">
        <f t="shared" si="59"/>
        <v>#N/A</v>
      </c>
      <c r="F77" s="163" t="e">
        <f t="shared" si="59"/>
        <v>#N/A</v>
      </c>
      <c r="G77" s="163" t="e">
        <f t="shared" si="59"/>
        <v>#N/A</v>
      </c>
      <c r="H77" s="163" t="e">
        <f t="shared" si="59"/>
        <v>#N/A</v>
      </c>
      <c r="I77" s="163" t="e">
        <f t="shared" si="59"/>
        <v>#N/A</v>
      </c>
      <c r="J77" s="163" t="e">
        <f t="shared" si="59"/>
        <v>#N/A</v>
      </c>
      <c r="K77" s="163">
        <f t="shared" si="59"/>
        <v>57.78564206268958</v>
      </c>
      <c r="L77" s="163">
        <f t="shared" si="59"/>
        <v>58.421052631578945</v>
      </c>
      <c r="M77" s="163">
        <f t="shared" si="59"/>
        <v>55.56760665220534</v>
      </c>
      <c r="N77" s="163">
        <f t="shared" si="59"/>
        <v>57.89220404234841</v>
      </c>
      <c r="O77" s="163">
        <f t="shared" si="59"/>
        <v>62.46076585059636</v>
      </c>
      <c r="P77" s="163">
        <f t="shared" si="59"/>
        <v>67.99</v>
      </c>
      <c r="Q77" s="163">
        <f t="shared" si="59"/>
        <v>67.42085368516834</v>
      </c>
      <c r="R77" s="163">
        <f t="shared" si="59"/>
        <v>68.04763210892074</v>
      </c>
      <c r="S77" s="163">
        <f t="shared" si="59"/>
        <v>70.35099358621231</v>
      </c>
      <c r="T77" s="163">
        <f t="shared" si="59"/>
        <v>70.70771156714913</v>
      </c>
      <c r="U77" s="163">
        <f t="shared" si="59"/>
        <v>76.41992249896468</v>
      </c>
      <c r="V77" s="163">
        <f t="shared" si="59"/>
        <v>68.08131561090488</v>
      </c>
      <c r="W77" s="163">
        <f t="shared" si="59"/>
        <v>75.15328532124938</v>
      </c>
      <c r="X77" s="163">
        <f t="shared" si="59"/>
        <v>90.48278368311075</v>
      </c>
      <c r="Y77" s="163">
        <f t="shared" si="59"/>
        <v>82.16997335982302</v>
      </c>
      <c r="Z77" s="163">
        <f t="shared" si="59"/>
        <v>91.89627228525121</v>
      </c>
      <c r="AA77" s="163">
        <f t="shared" si="59"/>
        <v>98.41997436196246</v>
      </c>
      <c r="AB77" s="163">
        <f t="shared" si="59"/>
        <v>98.68461322476485</v>
      </c>
      <c r="AC77" s="163">
        <f t="shared" si="59"/>
        <v>82.79472445306008</v>
      </c>
      <c r="AD77" s="163">
        <f t="shared" si="59"/>
        <v>148.6149929042491</v>
      </c>
      <c r="AE77" s="163">
        <f t="shared" si="59"/>
        <v>148.23586972807422</v>
      </c>
      <c r="AF77" s="163">
        <f t="shared" si="59"/>
        <v>198.73714116560313</v>
      </c>
      <c r="AG77" s="163">
        <f t="shared" si="59"/>
        <v>264.8102833847901</v>
      </c>
      <c r="AH77" s="163">
        <f t="shared" si="59"/>
        <v>396.6499600198136</v>
      </c>
      <c r="AI77" s="163">
        <f t="shared" si="59"/>
        <v>483.7374677118712</v>
      </c>
      <c r="AJ77" s="163">
        <f t="shared" si="59"/>
        <v>1509.0606455696204</v>
      </c>
      <c r="AK77" s="163">
        <f t="shared" si="59"/>
        <v>2028.6607061901925</v>
      </c>
      <c r="AL77" s="163">
        <f t="shared" si="59"/>
        <v>2174.1055633947267</v>
      </c>
      <c r="AM77" s="163">
        <f t="shared" si="59"/>
        <v>2296.4573336883677</v>
      </c>
      <c r="AN77" s="163">
        <f t="shared" si="59"/>
        <v>2746.572772999839</v>
      </c>
      <c r="AO77" s="163">
        <f t="shared" si="59"/>
        <v>3256.6252162044434</v>
      </c>
      <c r="AP77" s="163">
        <f t="shared" si="59"/>
        <v>4325.898818227239</v>
      </c>
      <c r="AQ77" s="163">
        <f t="shared" si="59"/>
        <v>4523.669141139405</v>
      </c>
      <c r="AR77" s="163">
        <f t="shared" si="59"/>
        <v>0</v>
      </c>
      <c r="AS77" s="152"/>
    </row>
    <row r="78" spans="1:45" s="153" customFormat="1" ht="15.75">
      <c r="A78" s="159" t="s">
        <v>14</v>
      </c>
      <c r="B78" s="156">
        <f>B22/B94*1000</f>
        <v>94.6291560102302</v>
      </c>
      <c r="C78" s="156">
        <f aca="true" t="shared" si="60" ref="C78:AR78">C22/C94*1000</f>
        <v>92.57265877287406</v>
      </c>
      <c r="D78" s="156">
        <f t="shared" si="60"/>
        <v>93.99749895789913</v>
      </c>
      <c r="E78" s="156">
        <f t="shared" si="60"/>
        <v>97.43886000385135</v>
      </c>
      <c r="F78" s="156">
        <f t="shared" si="60"/>
        <v>99.1720979390523</v>
      </c>
      <c r="G78" s="156">
        <f t="shared" si="60"/>
        <v>101.36603539273518</v>
      </c>
      <c r="H78" s="156">
        <f t="shared" si="60"/>
        <v>99.66193373901285</v>
      </c>
      <c r="I78" s="156">
        <f t="shared" si="60"/>
        <v>93.99720800372268</v>
      </c>
      <c r="J78" s="156">
        <f t="shared" si="60"/>
        <v>90.81429519385722</v>
      </c>
      <c r="K78" s="156">
        <f t="shared" si="60"/>
        <v>57.26184279021343</v>
      </c>
      <c r="L78" s="156">
        <f t="shared" si="60"/>
        <v>57.989228007181325</v>
      </c>
      <c r="M78" s="156">
        <f t="shared" si="60"/>
        <v>55.10881593507931</v>
      </c>
      <c r="N78" s="156">
        <f t="shared" si="60"/>
        <v>57.38636363636364</v>
      </c>
      <c r="O78" s="156">
        <f t="shared" si="60"/>
        <v>62.36328543855887</v>
      </c>
      <c r="P78" s="156">
        <f t="shared" si="60"/>
        <v>67.98999999999998</v>
      </c>
      <c r="Q78" s="156">
        <f t="shared" si="60"/>
        <v>67.4209044267457</v>
      </c>
      <c r="R78" s="156">
        <f t="shared" si="60"/>
        <v>68.04777601086008</v>
      </c>
      <c r="S78" s="156">
        <f t="shared" si="60"/>
        <v>70.39263849670293</v>
      </c>
      <c r="T78" s="156">
        <f t="shared" si="60"/>
        <v>70.7604303829148</v>
      </c>
      <c r="U78" s="156">
        <f t="shared" si="60"/>
        <v>76.74728136764797</v>
      </c>
      <c r="V78" s="156">
        <f t="shared" si="60"/>
        <v>68.1019483380056</v>
      </c>
      <c r="W78" s="156">
        <f t="shared" si="60"/>
        <v>75.18460099243472</v>
      </c>
      <c r="X78" s="156">
        <f t="shared" si="60"/>
        <v>90.55059768227028</v>
      </c>
      <c r="Y78" s="156">
        <f t="shared" si="60"/>
        <v>82.18994656281134</v>
      </c>
      <c r="Z78" s="156">
        <f t="shared" si="60"/>
        <v>91.91891012228577</v>
      </c>
      <c r="AA78" s="156">
        <f t="shared" si="60"/>
        <v>98.45400596945045</v>
      </c>
      <c r="AB78" s="156">
        <f t="shared" si="60"/>
        <v>98.73446208112875</v>
      </c>
      <c r="AC78" s="156">
        <f t="shared" si="60"/>
        <v>82.8257565193139</v>
      </c>
      <c r="AD78" s="156">
        <f t="shared" si="60"/>
        <v>145.50679758308158</v>
      </c>
      <c r="AE78" s="156">
        <f t="shared" si="60"/>
        <v>144.7176110112989</v>
      </c>
      <c r="AF78" s="156">
        <f t="shared" si="60"/>
        <v>194.18731949422823</v>
      </c>
      <c r="AG78" s="156">
        <f t="shared" si="60"/>
        <v>261.65391239989646</v>
      </c>
      <c r="AH78" s="156">
        <f t="shared" si="60"/>
        <v>390.34336848036435</v>
      </c>
      <c r="AI78" s="156">
        <f t="shared" si="60"/>
        <v>480.25228350649286</v>
      </c>
      <c r="AJ78" s="156">
        <f t="shared" si="60"/>
        <v>1507.5626067477876</v>
      </c>
      <c r="AK78" s="156">
        <f t="shared" si="60"/>
        <v>2024.5703178003293</v>
      </c>
      <c r="AL78" s="156">
        <f t="shared" si="60"/>
        <v>2162.2444327027833</v>
      </c>
      <c r="AM78" s="156">
        <f t="shared" si="60"/>
        <v>2254.786892054843</v>
      </c>
      <c r="AN78" s="156">
        <f t="shared" si="60"/>
        <v>2690.038472737066</v>
      </c>
      <c r="AO78" s="156">
        <f t="shared" si="60"/>
        <v>3096.085602073487</v>
      </c>
      <c r="AP78" s="156">
        <f t="shared" si="60"/>
        <v>4177.218077736567</v>
      </c>
      <c r="AQ78" s="156">
        <f t="shared" si="60"/>
        <v>4379.94667736622</v>
      </c>
      <c r="AR78" s="156">
        <f t="shared" si="60"/>
        <v>0</v>
      </c>
      <c r="AS78" s="152"/>
    </row>
    <row r="79" spans="1:45" s="153" customFormat="1" ht="15.75">
      <c r="A79" s="157" t="s">
        <v>15</v>
      </c>
      <c r="B79" s="158">
        <f>B23/B95*1000</f>
        <v>91.83064997018487</v>
      </c>
      <c r="C79" s="158">
        <f aca="true" t="shared" si="61" ref="C79:AR79">C23/C95*1000</f>
        <v>94.45528002229034</v>
      </c>
      <c r="D79" s="158">
        <f t="shared" si="61"/>
        <v>90.21211346792741</v>
      </c>
      <c r="E79" s="158">
        <f t="shared" si="61"/>
        <v>94.23604757548033</v>
      </c>
      <c r="F79" s="158">
        <f t="shared" si="61"/>
        <v>97.49362786745964</v>
      </c>
      <c r="G79" s="158">
        <f t="shared" si="61"/>
        <v>96.86712279438242</v>
      </c>
      <c r="H79" s="158">
        <f t="shared" si="61"/>
        <v>98.93004115226339</v>
      </c>
      <c r="I79" s="158">
        <f t="shared" si="61"/>
        <v>96.39564124057</v>
      </c>
      <c r="J79" s="158">
        <f t="shared" si="61"/>
        <v>95.87123862841149</v>
      </c>
      <c r="K79" s="158">
        <f t="shared" si="61"/>
        <v>54.98826291079812</v>
      </c>
      <c r="L79" s="158">
        <f t="shared" si="61"/>
        <v>55.79637096774194</v>
      </c>
      <c r="M79" s="158">
        <f t="shared" si="61"/>
        <v>52.618556701030926</v>
      </c>
      <c r="N79" s="158">
        <f t="shared" si="61"/>
        <v>55.43744889615699</v>
      </c>
      <c r="O79" s="158">
        <f t="shared" si="61"/>
        <v>61.96097325945555</v>
      </c>
      <c r="P79" s="158">
        <f t="shared" si="61"/>
        <v>67.99</v>
      </c>
      <c r="Q79" s="158">
        <f t="shared" si="61"/>
        <v>67.418</v>
      </c>
      <c r="R79" s="158">
        <f t="shared" si="61"/>
        <v>68.042</v>
      </c>
      <c r="S79" s="158">
        <f t="shared" si="61"/>
        <v>70.389</v>
      </c>
      <c r="T79" s="158">
        <f t="shared" si="61"/>
        <v>70.458</v>
      </c>
      <c r="U79" s="158">
        <f t="shared" si="61"/>
        <v>76.9627203065134</v>
      </c>
      <c r="V79" s="158">
        <f t="shared" si="61"/>
        <v>68.02324902723736</v>
      </c>
      <c r="W79" s="158">
        <f t="shared" si="61"/>
        <v>75.39013564560439</v>
      </c>
      <c r="X79" s="158">
        <f t="shared" si="61"/>
        <v>90.89782465392223</v>
      </c>
      <c r="Y79" s="158">
        <f t="shared" si="61"/>
        <v>82.15975777594275</v>
      </c>
      <c r="Z79" s="158">
        <f t="shared" si="61"/>
        <v>92</v>
      </c>
      <c r="AA79" s="158">
        <f t="shared" si="61"/>
        <v>98.6</v>
      </c>
      <c r="AB79" s="158">
        <f t="shared" si="61"/>
        <v>99.10000000000001</v>
      </c>
      <c r="AC79" s="158">
        <f t="shared" si="61"/>
        <v>83.7</v>
      </c>
      <c r="AD79" s="158">
        <f t="shared" si="61"/>
        <v>81.8</v>
      </c>
      <c r="AE79" s="158">
        <f t="shared" si="61"/>
        <v>83.19996860539646</v>
      </c>
      <c r="AF79" s="158">
        <f t="shared" si="61"/>
        <v>131.59999387754422</v>
      </c>
      <c r="AG79" s="158">
        <f t="shared" si="61"/>
        <v>191.9999988262102</v>
      </c>
      <c r="AH79" s="158">
        <f t="shared" si="61"/>
        <v>224.29999995079183</v>
      </c>
      <c r="AI79" s="158">
        <f t="shared" si="61"/>
        <v>307.0000218428317</v>
      </c>
      <c r="AJ79" s="158">
        <f t="shared" si="61"/>
        <v>1428.4980066978303</v>
      </c>
      <c r="AK79" s="158">
        <f t="shared" si="61"/>
        <v>1765.3942036657945</v>
      </c>
      <c r="AL79" s="158">
        <f t="shared" si="61"/>
        <v>1930.6000784230353</v>
      </c>
      <c r="AM79" s="158">
        <f t="shared" si="61"/>
        <v>2032.2999999999993</v>
      </c>
      <c r="AN79" s="158">
        <f t="shared" si="61"/>
        <v>2426.6014586891606</v>
      </c>
      <c r="AO79" s="158">
        <f t="shared" si="61"/>
        <v>2358.814248263365</v>
      </c>
      <c r="AP79" s="158">
        <f t="shared" si="61"/>
        <v>3317.0976707121536</v>
      </c>
      <c r="AQ79" s="158">
        <f t="shared" si="61"/>
        <v>3743.2046019159798</v>
      </c>
      <c r="AR79" s="158">
        <f t="shared" si="61"/>
        <v>0</v>
      </c>
      <c r="AS79" s="152"/>
    </row>
    <row r="80" spans="1:45" s="153" customFormat="1" ht="15.75">
      <c r="A80" s="157" t="s">
        <v>16</v>
      </c>
      <c r="B80" s="158">
        <f>B24/B96*1000</f>
        <v>104.54065469904964</v>
      </c>
      <c r="C80" s="158">
        <f aca="true" t="shared" si="62" ref="C80:AR80">C24/C96*1000</f>
        <v>86.17424242424244</v>
      </c>
      <c r="D80" s="158">
        <f t="shared" si="62"/>
        <v>110.73446327683617</v>
      </c>
      <c r="E80" s="158">
        <f t="shared" si="62"/>
        <v>114.49451887941537</v>
      </c>
      <c r="F80" s="158">
        <f t="shared" si="62"/>
        <v>107.32714138286893</v>
      </c>
      <c r="G80" s="158">
        <f t="shared" si="62"/>
        <v>129.50450450450452</v>
      </c>
      <c r="H80" s="158">
        <f t="shared" si="62"/>
        <v>103.03030303030303</v>
      </c>
      <c r="I80" s="158">
        <f t="shared" si="62"/>
        <v>82.05841446453407</v>
      </c>
      <c r="J80" s="158">
        <f t="shared" si="62"/>
        <v>68.86075949367088</v>
      </c>
      <c r="K80" s="158">
        <f t="shared" si="62"/>
        <v>75.11520737327189</v>
      </c>
      <c r="L80" s="158">
        <f t="shared" si="62"/>
        <v>75.81967213114754</v>
      </c>
      <c r="M80" s="158">
        <f t="shared" si="62"/>
        <v>76.22377622377623</v>
      </c>
      <c r="N80" s="158">
        <f t="shared" si="62"/>
        <v>76.2532981530343</v>
      </c>
      <c r="O80" s="158">
        <f t="shared" si="62"/>
        <v>65.625</v>
      </c>
      <c r="P80" s="158">
        <f t="shared" si="62"/>
        <v>67.99</v>
      </c>
      <c r="Q80" s="158">
        <f t="shared" si="62"/>
        <v>67.52577319587628</v>
      </c>
      <c r="R80" s="158">
        <f t="shared" si="62"/>
        <v>68.24324324324324</v>
      </c>
      <c r="S80" s="158">
        <f t="shared" si="62"/>
        <v>70.55555555555556</v>
      </c>
      <c r="T80" s="158">
        <f t="shared" si="62"/>
        <v>84.32122370936902</v>
      </c>
      <c r="U80" s="158">
        <f t="shared" si="62"/>
        <v>70.5340699815838</v>
      </c>
      <c r="V80" s="158">
        <f t="shared" si="62"/>
        <v>70.44334975369458</v>
      </c>
      <c r="W80" s="158">
        <f t="shared" si="62"/>
        <v>71.47286821705427</v>
      </c>
      <c r="X80" s="158">
        <f t="shared" si="62"/>
        <v>79.70588235294119</v>
      </c>
      <c r="Y80" s="158">
        <f t="shared" si="62"/>
        <v>84.50704225352112</v>
      </c>
      <c r="Z80" s="158">
        <f t="shared" si="62"/>
        <v>87.11484593837535</v>
      </c>
      <c r="AA80" s="158">
        <f t="shared" si="62"/>
        <v>91.68975069252078</v>
      </c>
      <c r="AB80" s="158">
        <f t="shared" si="62"/>
        <v>87.95698924731182</v>
      </c>
      <c r="AC80" s="158">
        <f t="shared" si="62"/>
        <v>76.85589519650655</v>
      </c>
      <c r="AD80" s="158">
        <f t="shared" si="62"/>
        <v>735.6589147286821</v>
      </c>
      <c r="AE80" s="158">
        <f t="shared" si="62"/>
        <v>719.0999999999999</v>
      </c>
      <c r="AF80" s="158">
        <f t="shared" si="62"/>
        <v>915.8</v>
      </c>
      <c r="AG80" s="158">
        <f t="shared" si="62"/>
        <v>1216.9</v>
      </c>
      <c r="AH80" s="158">
        <f t="shared" si="62"/>
        <v>1394.0000000000002</v>
      </c>
      <c r="AI80" s="158">
        <f t="shared" si="62"/>
        <v>1459</v>
      </c>
      <c r="AJ80" s="158">
        <f t="shared" si="62"/>
        <v>1809.9999999999998</v>
      </c>
      <c r="AK80" s="158">
        <f t="shared" si="62"/>
        <v>2808.0000000000005</v>
      </c>
      <c r="AL80" s="158">
        <f t="shared" si="62"/>
        <v>3236.4000000000005</v>
      </c>
      <c r="AM80" s="158">
        <f t="shared" si="62"/>
        <v>3629</v>
      </c>
      <c r="AN80" s="158">
        <f t="shared" si="62"/>
        <v>4090.6000000000004</v>
      </c>
      <c r="AO80" s="158">
        <f t="shared" si="62"/>
        <v>5395.4</v>
      </c>
      <c r="AP80" s="158">
        <f t="shared" si="62"/>
        <v>7906.88</v>
      </c>
      <c r="AQ80" s="158">
        <f t="shared" si="62"/>
        <v>8077.649999999999</v>
      </c>
      <c r="AR80" s="158">
        <f t="shared" si="62"/>
        <v>0</v>
      </c>
      <c r="AS80" s="152"/>
    </row>
    <row r="81" spans="1:45" s="153" customFormat="1" ht="15.75">
      <c r="A81" s="159" t="s">
        <v>17</v>
      </c>
      <c r="B81" s="156" t="e">
        <f>B25/(B103+B104)*1000</f>
        <v>#N/A</v>
      </c>
      <c r="C81" s="156" t="e">
        <f aca="true" t="shared" si="63" ref="C81:AR81">C25/(C103+C104)*1000</f>
        <v>#N/A</v>
      </c>
      <c r="D81" s="156" t="e">
        <f t="shared" si="63"/>
        <v>#N/A</v>
      </c>
      <c r="E81" s="156" t="e">
        <f t="shared" si="63"/>
        <v>#N/A</v>
      </c>
      <c r="F81" s="156" t="e">
        <f t="shared" si="63"/>
        <v>#N/A</v>
      </c>
      <c r="G81" s="156" t="e">
        <f t="shared" si="63"/>
        <v>#N/A</v>
      </c>
      <c r="H81" s="156" t="e">
        <f t="shared" si="63"/>
        <v>#N/A</v>
      </c>
      <c r="I81" s="156" t="e">
        <f t="shared" si="63"/>
        <v>#N/A</v>
      </c>
      <c r="J81" s="156" t="e">
        <f t="shared" si="63"/>
        <v>#N/A</v>
      </c>
      <c r="K81" s="156">
        <f t="shared" si="63"/>
        <v>75.43859649122807</v>
      </c>
      <c r="L81" s="156">
        <f t="shared" si="63"/>
        <v>76.92307692307693</v>
      </c>
      <c r="M81" s="156">
        <f t="shared" si="63"/>
        <v>78.18181818181817</v>
      </c>
      <c r="N81" s="156">
        <f t="shared" si="63"/>
        <v>76.85185185185185</v>
      </c>
      <c r="O81" s="156">
        <f t="shared" si="63"/>
        <v>66.37931034482759</v>
      </c>
      <c r="P81" s="156">
        <f t="shared" si="63"/>
        <v>67.99</v>
      </c>
      <c r="Q81" s="156">
        <f t="shared" si="63"/>
        <v>67.41800000000002</v>
      </c>
      <c r="R81" s="156">
        <f t="shared" si="63"/>
        <v>68.04200000000002</v>
      </c>
      <c r="S81" s="156">
        <f t="shared" si="63"/>
        <v>68.86981294964029</v>
      </c>
      <c r="T81" s="156">
        <f t="shared" si="63"/>
        <v>69.18312665862484</v>
      </c>
      <c r="U81" s="156">
        <f t="shared" si="63"/>
        <v>68.8425</v>
      </c>
      <c r="V81" s="156">
        <f t="shared" si="63"/>
        <v>61.874096385542174</v>
      </c>
      <c r="W81" s="156">
        <f t="shared" si="63"/>
        <v>69.23076923076924</v>
      </c>
      <c r="X81" s="156">
        <f t="shared" si="63"/>
        <v>75</v>
      </c>
      <c r="Y81" s="156">
        <f t="shared" si="63"/>
        <v>75.38461538461539</v>
      </c>
      <c r="Z81" s="156">
        <f t="shared" si="63"/>
        <v>86.36363636363636</v>
      </c>
      <c r="AA81" s="156">
        <f t="shared" si="63"/>
        <v>90.66666666666666</v>
      </c>
      <c r="AB81" s="156">
        <f t="shared" si="63"/>
        <v>88.73239436619717</v>
      </c>
      <c r="AC81" s="156">
        <f t="shared" si="63"/>
        <v>78.43137254901961</v>
      </c>
      <c r="AD81" s="156">
        <f t="shared" si="63"/>
        <v>736.5079365079364</v>
      </c>
      <c r="AE81" s="156">
        <f t="shared" si="63"/>
        <v>719.0999999999999</v>
      </c>
      <c r="AF81" s="156">
        <f t="shared" si="63"/>
        <v>915.8</v>
      </c>
      <c r="AG81" s="156">
        <f t="shared" si="63"/>
        <v>1216.9</v>
      </c>
      <c r="AH81" s="156">
        <f t="shared" si="63"/>
        <v>1394.0000000000002</v>
      </c>
      <c r="AI81" s="156">
        <f t="shared" si="63"/>
        <v>1459</v>
      </c>
      <c r="AJ81" s="156">
        <f t="shared" si="63"/>
        <v>1810</v>
      </c>
      <c r="AK81" s="156">
        <f t="shared" si="63"/>
        <v>2808</v>
      </c>
      <c r="AL81" s="156">
        <f t="shared" si="63"/>
        <v>3236.4</v>
      </c>
      <c r="AM81" s="156">
        <f t="shared" si="63"/>
        <v>8867.181690140844</v>
      </c>
      <c r="AN81" s="156">
        <f t="shared" si="63"/>
        <v>8215.82</v>
      </c>
      <c r="AO81" s="156">
        <f t="shared" si="63"/>
        <v>6466.928048780487</v>
      </c>
      <c r="AP81" s="156">
        <f t="shared" si="63"/>
        <v>9661.659863481229</v>
      </c>
      <c r="AQ81" s="156">
        <f t="shared" si="63"/>
        <v>10565.744534711966</v>
      </c>
      <c r="AR81" s="156">
        <f t="shared" si="63"/>
        <v>0</v>
      </c>
      <c r="AS81" s="152"/>
    </row>
    <row r="82" spans="1:45" s="153" customFormat="1" ht="15.75">
      <c r="A82" s="157" t="s">
        <v>18</v>
      </c>
      <c r="B82" s="158" t="e">
        <f>B26/B103*1000</f>
        <v>#N/A</v>
      </c>
      <c r="C82" s="158" t="e">
        <f aca="true" t="shared" si="64" ref="C82:AR82">C26/C103*1000</f>
        <v>#N/A</v>
      </c>
      <c r="D82" s="158" t="e">
        <f t="shared" si="64"/>
        <v>#N/A</v>
      </c>
      <c r="E82" s="158" t="e">
        <f t="shared" si="64"/>
        <v>#N/A</v>
      </c>
      <c r="F82" s="158" t="e">
        <f t="shared" si="64"/>
        <v>#N/A</v>
      </c>
      <c r="G82" s="158" t="e">
        <f t="shared" si="64"/>
        <v>#N/A</v>
      </c>
      <c r="H82" s="158" t="e">
        <f t="shared" si="64"/>
        <v>#N/A</v>
      </c>
      <c r="I82" s="158" t="e">
        <f t="shared" si="64"/>
        <v>#N/A</v>
      </c>
      <c r="J82" s="158" t="e">
        <f t="shared" si="64"/>
        <v>#N/A</v>
      </c>
      <c r="K82" s="158" t="e">
        <f t="shared" si="64"/>
        <v>#N/A</v>
      </c>
      <c r="L82" s="158" t="e">
        <f t="shared" si="64"/>
        <v>#N/A</v>
      </c>
      <c r="M82" s="158" t="e">
        <f t="shared" si="64"/>
        <v>#N/A</v>
      </c>
      <c r="N82" s="158" t="e">
        <f t="shared" si="64"/>
        <v>#N/A</v>
      </c>
      <c r="O82" s="158" t="e">
        <f t="shared" si="64"/>
        <v>#N/A</v>
      </c>
      <c r="P82" s="158">
        <f t="shared" si="64"/>
        <v>68.23529411764706</v>
      </c>
      <c r="Q82" s="158">
        <f t="shared" si="64"/>
        <v>67.41800000000002</v>
      </c>
      <c r="R82" s="158">
        <f t="shared" si="64"/>
        <v>68.042</v>
      </c>
      <c r="S82" s="158">
        <f t="shared" si="64"/>
        <v>65.75814473684211</v>
      </c>
      <c r="T82" s="158">
        <f t="shared" si="64"/>
        <v>66.19642741935483</v>
      </c>
      <c r="U82" s="158">
        <f t="shared" si="64"/>
        <v>67.2</v>
      </c>
      <c r="V82" s="158">
        <f t="shared" si="64"/>
        <v>56.555882352941175</v>
      </c>
      <c r="W82" s="158">
        <f t="shared" si="64"/>
        <v>66.66666666666667</v>
      </c>
      <c r="X82" s="158">
        <f t="shared" si="64"/>
        <v>73.33333333333333</v>
      </c>
      <c r="Y82" s="158">
        <f t="shared" si="64"/>
        <v>74.54545454545455</v>
      </c>
      <c r="Z82" s="158">
        <f t="shared" si="64"/>
        <v>86.84210526315789</v>
      </c>
      <c r="AA82" s="158">
        <f t="shared" si="64"/>
        <v>91.07142857142857</v>
      </c>
      <c r="AB82" s="158">
        <f t="shared" si="64"/>
        <v>88.37209302325581</v>
      </c>
      <c r="AC82" s="158">
        <f t="shared" si="64"/>
        <v>78.125</v>
      </c>
      <c r="AD82" s="158">
        <f t="shared" si="64"/>
        <v>736.5384615384614</v>
      </c>
      <c r="AE82" s="158">
        <f t="shared" si="64"/>
        <v>719.0999999999999</v>
      </c>
      <c r="AF82" s="158">
        <f t="shared" si="64"/>
        <v>915.8</v>
      </c>
      <c r="AG82" s="158">
        <f t="shared" si="64"/>
        <v>1216.8999999999999</v>
      </c>
      <c r="AH82" s="158">
        <f t="shared" si="64"/>
        <v>1394.0000000000002</v>
      </c>
      <c r="AI82" s="158">
        <f t="shared" si="64"/>
        <v>1459</v>
      </c>
      <c r="AJ82" s="158">
        <f t="shared" si="64"/>
        <v>1810</v>
      </c>
      <c r="AK82" s="158">
        <f t="shared" si="64"/>
        <v>2808</v>
      </c>
      <c r="AL82" s="158">
        <f t="shared" si="64"/>
        <v>3236.4</v>
      </c>
      <c r="AM82" s="158">
        <f t="shared" si="64"/>
        <v>9676.331707317071</v>
      </c>
      <c r="AN82" s="158">
        <f t="shared" si="64"/>
        <v>8595.150574712645</v>
      </c>
      <c r="AO82" s="158">
        <f t="shared" si="64"/>
        <v>9629.872289156625</v>
      </c>
      <c r="AP82" s="158">
        <f t="shared" si="64"/>
        <v>13526.011147540985</v>
      </c>
      <c r="AQ82" s="158">
        <f t="shared" si="64"/>
        <v>16098.792857142858</v>
      </c>
      <c r="AR82" s="158">
        <f t="shared" si="64"/>
        <v>0</v>
      </c>
      <c r="AS82" s="152"/>
    </row>
    <row r="83" spans="1:45" s="153" customFormat="1" ht="15.75">
      <c r="A83" s="157" t="s">
        <v>16</v>
      </c>
      <c r="B83" s="158" t="e">
        <f>B27/B104*1000</f>
        <v>#N/A</v>
      </c>
      <c r="C83" s="158" t="e">
        <f aca="true" t="shared" si="65" ref="C83:AR83">C27/C104*1000</f>
        <v>#N/A</v>
      </c>
      <c r="D83" s="158" t="e">
        <f t="shared" si="65"/>
        <v>#N/A</v>
      </c>
      <c r="E83" s="158" t="e">
        <f t="shared" si="65"/>
        <v>#N/A</v>
      </c>
      <c r="F83" s="158" t="e">
        <f t="shared" si="65"/>
        <v>#N/A</v>
      </c>
      <c r="G83" s="158" t="e">
        <f t="shared" si="65"/>
        <v>#N/A</v>
      </c>
      <c r="H83" s="158" t="e">
        <f t="shared" si="65"/>
        <v>#N/A</v>
      </c>
      <c r="I83" s="158" t="e">
        <f t="shared" si="65"/>
        <v>#N/A</v>
      </c>
      <c r="J83" s="158" t="e">
        <f t="shared" si="65"/>
        <v>#N/A</v>
      </c>
      <c r="K83" s="158" t="e">
        <f t="shared" si="65"/>
        <v>#N/A</v>
      </c>
      <c r="L83" s="158" t="e">
        <f t="shared" si="65"/>
        <v>#N/A</v>
      </c>
      <c r="M83" s="158" t="e">
        <f t="shared" si="65"/>
        <v>#N/A</v>
      </c>
      <c r="N83" s="158" t="e">
        <f t="shared" si="65"/>
        <v>#N/A</v>
      </c>
      <c r="O83" s="158" t="e">
        <f t="shared" si="65"/>
        <v>#N/A</v>
      </c>
      <c r="P83" s="158">
        <f t="shared" si="65"/>
        <v>68.02721088435375</v>
      </c>
      <c r="Q83" s="158">
        <f t="shared" si="65"/>
        <v>67.418</v>
      </c>
      <c r="R83" s="158">
        <f t="shared" si="65"/>
        <v>68.042</v>
      </c>
      <c r="S83" s="158">
        <f t="shared" si="65"/>
        <v>70.389</v>
      </c>
      <c r="T83" s="158">
        <f t="shared" si="65"/>
        <v>70.45800000000001</v>
      </c>
      <c r="U83" s="158">
        <f t="shared" si="65"/>
        <v>70.35</v>
      </c>
      <c r="V83" s="158">
        <f t="shared" si="65"/>
        <v>70.35</v>
      </c>
      <c r="W83" s="158">
        <f t="shared" si="65"/>
        <v>72.41379310344828</v>
      </c>
      <c r="X83" s="158">
        <f t="shared" si="65"/>
        <v>77.77777777777779</v>
      </c>
      <c r="Y83" s="158">
        <f t="shared" si="65"/>
        <v>80</v>
      </c>
      <c r="Z83" s="158">
        <f t="shared" si="65"/>
        <v>83.33333333333333</v>
      </c>
      <c r="AA83" s="158">
        <f t="shared" si="65"/>
        <v>89.47368421052632</v>
      </c>
      <c r="AB83" s="158">
        <f t="shared" si="65"/>
        <v>89.28571428571429</v>
      </c>
      <c r="AC83" s="158">
        <f t="shared" si="65"/>
        <v>78.94736842105263</v>
      </c>
      <c r="AD83" s="158">
        <f t="shared" si="65"/>
        <v>736.3636363636364</v>
      </c>
      <c r="AE83" s="158">
        <f t="shared" si="65"/>
        <v>719.1</v>
      </c>
      <c r="AF83" s="158">
        <f t="shared" si="65"/>
        <v>915.8000000000001</v>
      </c>
      <c r="AG83" s="158">
        <f t="shared" si="65"/>
        <v>1216.9000000000003</v>
      </c>
      <c r="AH83" s="158">
        <f t="shared" si="65"/>
        <v>1394</v>
      </c>
      <c r="AI83" s="158">
        <f t="shared" si="65"/>
        <v>1459</v>
      </c>
      <c r="AJ83" s="158">
        <f t="shared" si="65"/>
        <v>1809.9999999999998</v>
      </c>
      <c r="AK83" s="158">
        <f t="shared" si="65"/>
        <v>2808.0000000000005</v>
      </c>
      <c r="AL83" s="158">
        <f t="shared" si="65"/>
        <v>3236.4</v>
      </c>
      <c r="AM83" s="158">
        <f t="shared" si="65"/>
        <v>3628.9999999999995</v>
      </c>
      <c r="AN83" s="158">
        <f t="shared" si="65"/>
        <v>4090.6000000000004</v>
      </c>
      <c r="AO83" s="158">
        <f t="shared" si="65"/>
        <v>5395.400000000001</v>
      </c>
      <c r="AP83" s="158">
        <f t="shared" si="65"/>
        <v>7906.88</v>
      </c>
      <c r="AQ83" s="158">
        <f t="shared" si="65"/>
        <v>8077.650000000001</v>
      </c>
      <c r="AR83" s="158">
        <f t="shared" si="65"/>
        <v>0</v>
      </c>
      <c r="AS83" s="152"/>
    </row>
    <row r="84" spans="1:45" s="153" customFormat="1" ht="15.75">
      <c r="A84" s="154" t="s">
        <v>19</v>
      </c>
      <c r="B84" s="163" t="e">
        <f>B28/(B97+B114+B116+B117)*1000</f>
        <v>#N/A</v>
      </c>
      <c r="C84" s="163" t="e">
        <f aca="true" t="shared" si="66" ref="C84:AR84">C28/(C97+C114+C116+C117)*1000</f>
        <v>#N/A</v>
      </c>
      <c r="D84" s="163" t="e">
        <f t="shared" si="66"/>
        <v>#N/A</v>
      </c>
      <c r="E84" s="163" t="e">
        <f t="shared" si="66"/>
        <v>#N/A</v>
      </c>
      <c r="F84" s="163" t="e">
        <f t="shared" si="66"/>
        <v>#N/A</v>
      </c>
      <c r="G84" s="163" t="e">
        <f t="shared" si="66"/>
        <v>#N/A</v>
      </c>
      <c r="H84" s="163" t="e">
        <f t="shared" si="66"/>
        <v>#N/A</v>
      </c>
      <c r="I84" s="163" t="e">
        <f t="shared" si="66"/>
        <v>#N/A</v>
      </c>
      <c r="J84" s="163" t="e">
        <f t="shared" si="66"/>
        <v>#N/A</v>
      </c>
      <c r="K84" s="163">
        <f t="shared" si="66"/>
        <v>75.29706066291432</v>
      </c>
      <c r="L84" s="163">
        <f t="shared" si="66"/>
        <v>75.6639566395664</v>
      </c>
      <c r="M84" s="163">
        <f t="shared" si="66"/>
        <v>76.30057803468209</v>
      </c>
      <c r="N84" s="163">
        <f t="shared" si="66"/>
        <v>76.30168453292497</v>
      </c>
      <c r="O84" s="163">
        <f t="shared" si="66"/>
        <v>75.24722804914593</v>
      </c>
      <c r="P84" s="163">
        <f t="shared" si="66"/>
        <v>67.96331108930323</v>
      </c>
      <c r="Q84" s="163">
        <f t="shared" si="66"/>
        <v>67.58667641462193</v>
      </c>
      <c r="R84" s="163">
        <f t="shared" si="66"/>
        <v>67.79683141993956</v>
      </c>
      <c r="S84" s="163">
        <f t="shared" si="66"/>
        <v>67.31205538971807</v>
      </c>
      <c r="T84" s="163">
        <f t="shared" si="66"/>
        <v>71.10694539542891</v>
      </c>
      <c r="U84" s="163">
        <f t="shared" si="66"/>
        <v>70.25651366749887</v>
      </c>
      <c r="V84" s="163">
        <f t="shared" si="66"/>
        <v>70.44850946432676</v>
      </c>
      <c r="W84" s="163">
        <f t="shared" si="66"/>
        <v>114.76979146108808</v>
      </c>
      <c r="X84" s="163">
        <f t="shared" si="66"/>
        <v>124.34987684729066</v>
      </c>
      <c r="Y84" s="163">
        <f t="shared" si="66"/>
        <v>135.6</v>
      </c>
      <c r="Z84" s="163">
        <f t="shared" si="66"/>
        <v>140.09999999999997</v>
      </c>
      <c r="AA84" s="163">
        <f t="shared" si="66"/>
        <v>147.30000000000004</v>
      </c>
      <c r="AB84" s="163">
        <f t="shared" si="66"/>
        <v>141.50000000000003</v>
      </c>
      <c r="AC84" s="163">
        <f t="shared" si="66"/>
        <v>123.39999999999999</v>
      </c>
      <c r="AD84" s="163">
        <f t="shared" si="66"/>
        <v>112.7</v>
      </c>
      <c r="AE84" s="163">
        <f t="shared" si="66"/>
        <v>237.09999999999997</v>
      </c>
      <c r="AF84" s="163">
        <f t="shared" si="66"/>
        <v>299.1</v>
      </c>
      <c r="AG84" s="163">
        <f t="shared" si="66"/>
        <v>394.2</v>
      </c>
      <c r="AH84" s="163">
        <f t="shared" si="66"/>
        <v>511.69999999999993</v>
      </c>
      <c r="AI84" s="163">
        <f t="shared" si="66"/>
        <v>655.1</v>
      </c>
      <c r="AJ84" s="163">
        <f t="shared" si="66"/>
        <v>890.1000000000001</v>
      </c>
      <c r="AK84" s="163">
        <f t="shared" si="66"/>
        <v>1221.7</v>
      </c>
      <c r="AL84" s="163">
        <f t="shared" si="66"/>
        <v>1725.9657335975653</v>
      </c>
      <c r="AM84" s="163">
        <f t="shared" si="66"/>
        <v>2194.807458212746</v>
      </c>
      <c r="AN84" s="163">
        <f t="shared" si="66"/>
        <v>2783.4656024021406</v>
      </c>
      <c r="AO84" s="163">
        <f t="shared" si="66"/>
        <v>3192.6116533556215</v>
      </c>
      <c r="AP84" s="163">
        <f t="shared" si="66"/>
        <v>4240.503667058517</v>
      </c>
      <c r="AQ84" s="163">
        <f t="shared" si="66"/>
        <v>5916.183318229653</v>
      </c>
      <c r="AR84" s="163">
        <f t="shared" si="66"/>
        <v>0</v>
      </c>
      <c r="AS84" s="152"/>
    </row>
    <row r="85" spans="1:45" s="153" customFormat="1" ht="15.75">
      <c r="A85" s="159" t="s">
        <v>20</v>
      </c>
      <c r="B85" s="156">
        <f>B29/B97*1000</f>
        <v>86.15384615384615</v>
      </c>
      <c r="C85" s="156">
        <f aca="true" t="shared" si="67" ref="C85:AR85">C29/C97*1000</f>
        <v>92.42034434989117</v>
      </c>
      <c r="D85" s="156">
        <f t="shared" si="67"/>
        <v>92.1320831634733</v>
      </c>
      <c r="E85" s="156">
        <f t="shared" si="67"/>
        <v>92.64739358069657</v>
      </c>
      <c r="F85" s="156">
        <f t="shared" si="67"/>
        <v>86.05541788691148</v>
      </c>
      <c r="G85" s="156">
        <f t="shared" si="67"/>
        <v>85.84758942457232</v>
      </c>
      <c r="H85" s="156">
        <f t="shared" si="67"/>
        <v>81.73319858514401</v>
      </c>
      <c r="I85" s="156">
        <f t="shared" si="67"/>
        <v>80.07136110819603</v>
      </c>
      <c r="J85" s="156">
        <f t="shared" si="67"/>
        <v>79.45318972659486</v>
      </c>
      <c r="K85" s="156">
        <f t="shared" si="67"/>
        <v>75</v>
      </c>
      <c r="L85" s="156">
        <f t="shared" si="67"/>
        <v>75.61817136285222</v>
      </c>
      <c r="M85" s="156">
        <f t="shared" si="67"/>
        <v>76.23504940197607</v>
      </c>
      <c r="N85" s="156">
        <f t="shared" si="67"/>
        <v>76.17706237424547</v>
      </c>
      <c r="O85" s="156">
        <f t="shared" si="67"/>
        <v>76.1378002528445</v>
      </c>
      <c r="P85" s="156">
        <f t="shared" si="67"/>
        <v>67.94739974937343</v>
      </c>
      <c r="Q85" s="156">
        <f t="shared" si="67"/>
        <v>67.56612323905796</v>
      </c>
      <c r="R85" s="156">
        <f t="shared" si="67"/>
        <v>67.7496471813566</v>
      </c>
      <c r="S85" s="156">
        <f t="shared" si="67"/>
        <v>66.9527729719809</v>
      </c>
      <c r="T85" s="156">
        <f t="shared" si="67"/>
        <v>71.15391323257585</v>
      </c>
      <c r="U85" s="156">
        <f t="shared" si="67"/>
        <v>70.21320645905419</v>
      </c>
      <c r="V85" s="156">
        <f t="shared" si="67"/>
        <v>70.4097604790419</v>
      </c>
      <c r="W85" s="156">
        <f t="shared" si="67"/>
        <v>114.76583587530689</v>
      </c>
      <c r="X85" s="156">
        <f t="shared" si="67"/>
        <v>124.16529165323882</v>
      </c>
      <c r="Y85" s="156">
        <f t="shared" si="67"/>
        <v>135.6</v>
      </c>
      <c r="Z85" s="156">
        <f t="shared" si="67"/>
        <v>140.09999999999997</v>
      </c>
      <c r="AA85" s="156">
        <f t="shared" si="67"/>
        <v>147.3</v>
      </c>
      <c r="AB85" s="156">
        <f t="shared" si="67"/>
        <v>141.50000000000003</v>
      </c>
      <c r="AC85" s="156">
        <f t="shared" si="67"/>
        <v>123.4</v>
      </c>
      <c r="AD85" s="156">
        <f t="shared" si="67"/>
        <v>112.7</v>
      </c>
      <c r="AE85" s="156">
        <f t="shared" si="67"/>
        <v>237.09999999999997</v>
      </c>
      <c r="AF85" s="156">
        <f t="shared" si="67"/>
        <v>299.1</v>
      </c>
      <c r="AG85" s="156">
        <f t="shared" si="67"/>
        <v>394.2</v>
      </c>
      <c r="AH85" s="156">
        <f t="shared" si="67"/>
        <v>511.70000000000005</v>
      </c>
      <c r="AI85" s="156">
        <f t="shared" si="67"/>
        <v>655.1</v>
      </c>
      <c r="AJ85" s="156">
        <f t="shared" si="67"/>
        <v>890.1</v>
      </c>
      <c r="AK85" s="156">
        <f t="shared" si="67"/>
        <v>1221.7</v>
      </c>
      <c r="AL85" s="156">
        <f t="shared" si="67"/>
        <v>1725.8</v>
      </c>
      <c r="AM85" s="156">
        <f t="shared" si="67"/>
        <v>2194</v>
      </c>
      <c r="AN85" s="156">
        <f t="shared" si="67"/>
        <v>2779.5</v>
      </c>
      <c r="AO85" s="156">
        <f t="shared" si="67"/>
        <v>3190</v>
      </c>
      <c r="AP85" s="156">
        <f t="shared" si="67"/>
        <v>4188.326570758581</v>
      </c>
      <c r="AQ85" s="156">
        <f t="shared" si="67"/>
        <v>5910.0005253214895</v>
      </c>
      <c r="AR85" s="156">
        <f t="shared" si="67"/>
        <v>0</v>
      </c>
      <c r="AS85" s="152"/>
    </row>
    <row r="86" spans="1:45" s="153" customFormat="1" ht="15.75">
      <c r="A86" s="159" t="s">
        <v>17</v>
      </c>
      <c r="B86" s="165" t="e">
        <f>B30/(B114+B116+B117)*1000</f>
        <v>#N/A</v>
      </c>
      <c r="C86" s="165" t="e">
        <f aca="true" t="shared" si="68" ref="C86:AR86">C30/(C114+C116+C117)*1000</f>
        <v>#N/A</v>
      </c>
      <c r="D86" s="165" t="e">
        <f t="shared" si="68"/>
        <v>#N/A</v>
      </c>
      <c r="E86" s="165" t="e">
        <f t="shared" si="68"/>
        <v>#N/A</v>
      </c>
      <c r="F86" s="165" t="e">
        <f t="shared" si="68"/>
        <v>#N/A</v>
      </c>
      <c r="G86" s="165" t="e">
        <f t="shared" si="68"/>
        <v>#N/A</v>
      </c>
      <c r="H86" s="165" t="e">
        <f t="shared" si="68"/>
        <v>#N/A</v>
      </c>
      <c r="I86" s="165" t="e">
        <f t="shared" si="68"/>
        <v>#N/A</v>
      </c>
      <c r="J86" s="165" t="e">
        <f t="shared" si="68"/>
        <v>#N/A</v>
      </c>
      <c r="K86" s="165">
        <f t="shared" si="68"/>
        <v>80.72289156626506</v>
      </c>
      <c r="L86" s="165">
        <f t="shared" si="68"/>
        <v>76.41509433962264</v>
      </c>
      <c r="M86" s="165">
        <f t="shared" si="68"/>
        <v>77.12418300653596</v>
      </c>
      <c r="N86" s="165">
        <f t="shared" si="68"/>
        <v>78.74015748031496</v>
      </c>
      <c r="O86" s="165">
        <f t="shared" si="68"/>
        <v>58.959537572254334</v>
      </c>
      <c r="P86" s="165">
        <f t="shared" si="68"/>
        <v>68.2114657980456</v>
      </c>
      <c r="Q86" s="165">
        <f t="shared" si="68"/>
        <v>67.86528279883383</v>
      </c>
      <c r="R86" s="165">
        <f t="shared" si="68"/>
        <v>68.4069696969697</v>
      </c>
      <c r="S86" s="165">
        <f t="shared" si="68"/>
        <v>70.67950401376147</v>
      </c>
      <c r="T86" s="165">
        <f t="shared" si="68"/>
        <v>70.76411746031745</v>
      </c>
      <c r="U86" s="165">
        <f t="shared" si="68"/>
        <v>70.6</v>
      </c>
      <c r="V86" s="165">
        <f t="shared" si="68"/>
        <v>70.57669197755034</v>
      </c>
      <c r="W86" s="165">
        <f t="shared" si="68"/>
        <v>114.8</v>
      </c>
      <c r="X86" s="165">
        <f t="shared" si="68"/>
        <v>128.3</v>
      </c>
      <c r="Y86" s="165">
        <f t="shared" si="68"/>
        <v>135.6</v>
      </c>
      <c r="Z86" s="165">
        <f t="shared" si="68"/>
        <v>140.1</v>
      </c>
      <c r="AA86" s="165">
        <f t="shared" si="68"/>
        <v>147.3</v>
      </c>
      <c r="AB86" s="165">
        <f t="shared" si="68"/>
        <v>141.50000000000003</v>
      </c>
      <c r="AC86" s="165">
        <f t="shared" si="68"/>
        <v>123.4</v>
      </c>
      <c r="AD86" s="165">
        <f t="shared" si="68"/>
        <v>112.69999999999999</v>
      </c>
      <c r="AE86" s="165">
        <f t="shared" si="68"/>
        <v>237.09999999999994</v>
      </c>
      <c r="AF86" s="165">
        <f t="shared" si="68"/>
        <v>299.1</v>
      </c>
      <c r="AG86" s="165">
        <f t="shared" si="68"/>
        <v>394.2</v>
      </c>
      <c r="AH86" s="165">
        <f t="shared" si="68"/>
        <v>511.69999999999993</v>
      </c>
      <c r="AI86" s="165">
        <f t="shared" si="68"/>
        <v>655.1</v>
      </c>
      <c r="AJ86" s="165">
        <f t="shared" si="68"/>
        <v>890.1</v>
      </c>
      <c r="AK86" s="165">
        <f t="shared" si="68"/>
        <v>1221.7</v>
      </c>
      <c r="AL86" s="165">
        <f t="shared" si="68"/>
        <v>1727.52815498155</v>
      </c>
      <c r="AM86" s="165">
        <f t="shared" si="68"/>
        <v>2201.0396884654992</v>
      </c>
      <c r="AN86" s="165">
        <f t="shared" si="68"/>
        <v>2812.2457682425484</v>
      </c>
      <c r="AO86" s="165">
        <f t="shared" si="68"/>
        <v>3212.6063370846737</v>
      </c>
      <c r="AP86" s="165">
        <f t="shared" si="68"/>
        <v>4613.518533794572</v>
      </c>
      <c r="AQ86" s="165">
        <f t="shared" si="68"/>
        <v>5962.404137760158</v>
      </c>
      <c r="AR86" s="165">
        <f t="shared" si="68"/>
        <v>0</v>
      </c>
      <c r="AS86" s="152"/>
    </row>
    <row r="87" spans="1:45" s="153" customFormat="1" ht="15.75">
      <c r="A87" s="157" t="s">
        <v>21</v>
      </c>
      <c r="B87" s="158" t="e">
        <f>B31/(B114+B116)*1000</f>
        <v>#N/A</v>
      </c>
      <c r="C87" s="158" t="e">
        <f aca="true" t="shared" si="69" ref="C87:AR87">C31/(C114+C116)*1000</f>
        <v>#N/A</v>
      </c>
      <c r="D87" s="158" t="e">
        <f t="shared" si="69"/>
        <v>#N/A</v>
      </c>
      <c r="E87" s="158" t="e">
        <f t="shared" si="69"/>
        <v>#N/A</v>
      </c>
      <c r="F87" s="158" t="e">
        <f t="shared" si="69"/>
        <v>#N/A</v>
      </c>
      <c r="G87" s="158" t="e">
        <f t="shared" si="69"/>
        <v>#N/A</v>
      </c>
      <c r="H87" s="158" t="e">
        <f t="shared" si="69"/>
        <v>#N/A</v>
      </c>
      <c r="I87" s="158" t="e">
        <f t="shared" si="69"/>
        <v>#N/A</v>
      </c>
      <c r="J87" s="158" t="e">
        <f t="shared" si="69"/>
        <v>#N/A</v>
      </c>
      <c r="K87" s="158" t="e">
        <f t="shared" si="69"/>
        <v>#N/A</v>
      </c>
      <c r="L87" s="158" t="e">
        <f t="shared" si="69"/>
        <v>#N/A</v>
      </c>
      <c r="M87" s="158" t="e">
        <f t="shared" si="69"/>
        <v>#N/A</v>
      </c>
      <c r="N87" s="158" t="e">
        <f t="shared" si="69"/>
        <v>#N/A</v>
      </c>
      <c r="O87" s="158" t="e">
        <f t="shared" si="69"/>
        <v>#N/A</v>
      </c>
      <c r="P87" s="158">
        <f t="shared" si="69"/>
        <v>68.65671641791045</v>
      </c>
      <c r="Q87" s="158">
        <f t="shared" si="69"/>
        <v>68.66311764705883</v>
      </c>
      <c r="R87" s="158">
        <f t="shared" si="69"/>
        <v>68.6458445595855</v>
      </c>
      <c r="S87" s="158">
        <f t="shared" si="69"/>
        <v>70.92673523421587</v>
      </c>
      <c r="T87" s="158">
        <f t="shared" si="69"/>
        <v>70.93499197431782</v>
      </c>
      <c r="U87" s="158">
        <f t="shared" si="69"/>
        <v>70.6</v>
      </c>
      <c r="V87" s="158">
        <f t="shared" si="69"/>
        <v>70.59999999999998</v>
      </c>
      <c r="W87" s="158">
        <f t="shared" si="69"/>
        <v>114.8</v>
      </c>
      <c r="X87" s="158">
        <f t="shared" si="69"/>
        <v>128.3</v>
      </c>
      <c r="Y87" s="158">
        <f t="shared" si="69"/>
        <v>135.6</v>
      </c>
      <c r="Z87" s="158">
        <f t="shared" si="69"/>
        <v>140.1</v>
      </c>
      <c r="AA87" s="158">
        <f t="shared" si="69"/>
        <v>147.3</v>
      </c>
      <c r="AB87" s="158">
        <f t="shared" si="69"/>
        <v>141.50000000000003</v>
      </c>
      <c r="AC87" s="158">
        <f t="shared" si="69"/>
        <v>123.4</v>
      </c>
      <c r="AD87" s="158">
        <f t="shared" si="69"/>
        <v>112.7</v>
      </c>
      <c r="AE87" s="158">
        <f t="shared" si="69"/>
        <v>237.09999999999994</v>
      </c>
      <c r="AF87" s="158">
        <f t="shared" si="69"/>
        <v>299.1</v>
      </c>
      <c r="AG87" s="158">
        <f t="shared" si="69"/>
        <v>394.2</v>
      </c>
      <c r="AH87" s="158">
        <f t="shared" si="69"/>
        <v>511.69999999999993</v>
      </c>
      <c r="AI87" s="158">
        <f t="shared" si="69"/>
        <v>655.1</v>
      </c>
      <c r="AJ87" s="158">
        <f t="shared" si="69"/>
        <v>890.1</v>
      </c>
      <c r="AK87" s="158">
        <f t="shared" si="69"/>
        <v>1221.7</v>
      </c>
      <c r="AL87" s="158">
        <f t="shared" si="69"/>
        <v>1725.8</v>
      </c>
      <c r="AM87" s="158">
        <f t="shared" si="69"/>
        <v>2158.8561757719717</v>
      </c>
      <c r="AN87" s="158">
        <f t="shared" si="69"/>
        <v>2706.6184782608693</v>
      </c>
      <c r="AO87" s="158">
        <f t="shared" si="69"/>
        <v>3045.4012842965562</v>
      </c>
      <c r="AP87" s="158">
        <f t="shared" si="69"/>
        <v>3959.344391025642</v>
      </c>
      <c r="AQ87" s="158">
        <f t="shared" si="69"/>
        <v>5174.4</v>
      </c>
      <c r="AR87" s="158">
        <f t="shared" si="69"/>
        <v>0</v>
      </c>
      <c r="AS87" s="152"/>
    </row>
    <row r="88" spans="1:45" s="153" customFormat="1" ht="15.75">
      <c r="A88" s="157" t="s">
        <v>16</v>
      </c>
      <c r="B88" s="158" t="e">
        <f>B32/B117*1000</f>
        <v>#N/A</v>
      </c>
      <c r="C88" s="158" t="e">
        <f aca="true" t="shared" si="70" ref="C88:AR88">C32/C117*1000</f>
        <v>#N/A</v>
      </c>
      <c r="D88" s="158" t="e">
        <f t="shared" si="70"/>
        <v>#N/A</v>
      </c>
      <c r="E88" s="158" t="e">
        <f t="shared" si="70"/>
        <v>#N/A</v>
      </c>
      <c r="F88" s="158" t="e">
        <f t="shared" si="70"/>
        <v>#N/A</v>
      </c>
      <c r="G88" s="158" t="e">
        <f t="shared" si="70"/>
        <v>#N/A</v>
      </c>
      <c r="H88" s="158" t="e">
        <f t="shared" si="70"/>
        <v>#N/A</v>
      </c>
      <c r="I88" s="158" t="e">
        <f t="shared" si="70"/>
        <v>#N/A</v>
      </c>
      <c r="J88" s="158" t="e">
        <f t="shared" si="70"/>
        <v>#N/A</v>
      </c>
      <c r="K88" s="158" t="e">
        <f t="shared" si="70"/>
        <v>#N/A</v>
      </c>
      <c r="L88" s="158" t="e">
        <f t="shared" si="70"/>
        <v>#N/A</v>
      </c>
      <c r="M88" s="158" t="e">
        <f t="shared" si="70"/>
        <v>#N/A</v>
      </c>
      <c r="N88" s="158" t="e">
        <f t="shared" si="70"/>
        <v>#N/A</v>
      </c>
      <c r="O88" s="158" t="e">
        <f t="shared" si="70"/>
        <v>#N/A</v>
      </c>
      <c r="P88" s="158">
        <f t="shared" si="70"/>
        <v>67.91666666666667</v>
      </c>
      <c r="Q88" s="158">
        <f t="shared" si="70"/>
        <v>67.668</v>
      </c>
      <c r="R88" s="158">
        <f t="shared" si="70"/>
        <v>68.292</v>
      </c>
      <c r="S88" s="158">
        <f t="shared" si="70"/>
        <v>70.58262410215482</v>
      </c>
      <c r="T88" s="158">
        <f t="shared" si="70"/>
        <v>70.708</v>
      </c>
      <c r="U88" s="158">
        <f t="shared" si="70"/>
        <v>70.6</v>
      </c>
      <c r="V88" s="158">
        <f t="shared" si="70"/>
        <v>70.57593728698022</v>
      </c>
      <c r="W88" s="158">
        <f t="shared" si="70"/>
        <v>114.8</v>
      </c>
      <c r="X88" s="158">
        <f t="shared" si="70"/>
        <v>128.3</v>
      </c>
      <c r="Y88" s="158">
        <f t="shared" si="70"/>
        <v>135.6</v>
      </c>
      <c r="Z88" s="158">
        <f t="shared" si="70"/>
        <v>140.1</v>
      </c>
      <c r="AA88" s="158">
        <f t="shared" si="70"/>
        <v>147.3</v>
      </c>
      <c r="AB88" s="158">
        <f t="shared" si="70"/>
        <v>141.50000000000003</v>
      </c>
      <c r="AC88" s="158">
        <f t="shared" si="70"/>
        <v>123.40000000000002</v>
      </c>
      <c r="AD88" s="158">
        <f t="shared" si="70"/>
        <v>112.69999999999999</v>
      </c>
      <c r="AE88" s="158">
        <f t="shared" si="70"/>
        <v>237.1</v>
      </c>
      <c r="AF88" s="158">
        <f t="shared" si="70"/>
        <v>299.09999999999997</v>
      </c>
      <c r="AG88" s="158">
        <f t="shared" si="70"/>
        <v>394.2</v>
      </c>
      <c r="AH88" s="158">
        <f t="shared" si="70"/>
        <v>511.70000000000005</v>
      </c>
      <c r="AI88" s="158">
        <f t="shared" si="70"/>
        <v>655.1</v>
      </c>
      <c r="AJ88" s="158">
        <f t="shared" si="70"/>
        <v>890.1</v>
      </c>
      <c r="AK88" s="158">
        <f t="shared" si="70"/>
        <v>1221.7000000000003</v>
      </c>
      <c r="AL88" s="158">
        <f t="shared" si="70"/>
        <v>1735.5163900414939</v>
      </c>
      <c r="AM88" s="158">
        <f t="shared" si="70"/>
        <v>2476.377034883721</v>
      </c>
      <c r="AN88" s="158">
        <f t="shared" si="70"/>
        <v>3244.709332460733</v>
      </c>
      <c r="AO88" s="158">
        <f t="shared" si="70"/>
        <v>5084.647222222222</v>
      </c>
      <c r="AP88" s="158">
        <f t="shared" si="70"/>
        <v>5907.3526545166405</v>
      </c>
      <c r="AQ88" s="158">
        <f t="shared" si="70"/>
        <v>7554.927470059879</v>
      </c>
      <c r="AR88" s="158">
        <f t="shared" si="70"/>
        <v>0</v>
      </c>
      <c r="AS88" s="152"/>
    </row>
    <row r="89" spans="1:45" s="153" customFormat="1" ht="15.75">
      <c r="A89" s="160" t="s">
        <v>22</v>
      </c>
      <c r="B89" s="164">
        <f>B33/(B93+B100)*1000</f>
        <v>61.18721461187215</v>
      </c>
      <c r="C89" s="164">
        <f aca="true" t="shared" si="71" ref="C89:AR89">C33/(C93+C100)*1000</f>
        <v>80.22922636103159</v>
      </c>
      <c r="D89" s="164">
        <f t="shared" si="71"/>
        <v>62.49999999999982</v>
      </c>
      <c r="E89" s="164">
        <f t="shared" si="71"/>
        <v>187.6484560570073</v>
      </c>
      <c r="F89" s="164">
        <f t="shared" si="71"/>
        <v>219.236209335219</v>
      </c>
      <c r="G89" s="164">
        <f t="shared" si="71"/>
        <v>-122.83737024221458</v>
      </c>
      <c r="H89" s="164">
        <f t="shared" si="71"/>
        <v>-55.65217391304353</v>
      </c>
      <c r="I89" s="164">
        <f t="shared" si="71"/>
        <v>-16.846361185983817</v>
      </c>
      <c r="J89" s="164">
        <f t="shared" si="71"/>
        <v>9.420631182289217</v>
      </c>
      <c r="K89" s="164">
        <f t="shared" si="71"/>
        <v>14.734299516908232</v>
      </c>
      <c r="L89" s="164">
        <f t="shared" si="71"/>
        <v>13.034623217922618</v>
      </c>
      <c r="M89" s="164">
        <f t="shared" si="71"/>
        <v>10.755148741418804</v>
      </c>
      <c r="N89" s="164">
        <f t="shared" si="71"/>
        <v>1720.8333333333326</v>
      </c>
      <c r="O89" s="164">
        <f t="shared" si="71"/>
        <v>-174.9077490774908</v>
      </c>
      <c r="P89" s="164">
        <f t="shared" si="71"/>
        <v>78.21621591228562</v>
      </c>
      <c r="Q89" s="164">
        <f t="shared" si="71"/>
        <v>68.23855584679126</v>
      </c>
      <c r="R89" s="164">
        <f t="shared" si="71"/>
        <v>72.49291959799001</v>
      </c>
      <c r="S89" s="164">
        <f t="shared" si="71"/>
        <v>78.6517336551724</v>
      </c>
      <c r="T89" s="164">
        <f t="shared" si="71"/>
        <v>84.32407147375075</v>
      </c>
      <c r="U89" s="164">
        <f t="shared" si="71"/>
        <v>-145.1785874439463</v>
      </c>
      <c r="V89" s="164">
        <f t="shared" si="71"/>
        <v>61.439065551996265</v>
      </c>
      <c r="W89" s="164">
        <f t="shared" si="71"/>
        <v>297.22087431693984</v>
      </c>
      <c r="X89" s="164">
        <f t="shared" si="71"/>
        <v>212.56448598130845</v>
      </c>
      <c r="Y89" s="164">
        <f t="shared" si="71"/>
        <v>-25.075515743756785</v>
      </c>
      <c r="Z89" s="164">
        <f t="shared" si="71"/>
        <v>-2740.2142458100548</v>
      </c>
      <c r="AA89" s="164">
        <f t="shared" si="71"/>
        <v>-279.7503638253642</v>
      </c>
      <c r="AB89" s="164">
        <f t="shared" si="71"/>
        <v>1310.5357142857144</v>
      </c>
      <c r="AC89" s="164">
        <f t="shared" si="71"/>
        <v>174.5416682832202</v>
      </c>
      <c r="AD89" s="164">
        <f t="shared" si="71"/>
        <v>-123.13105263157888</v>
      </c>
      <c r="AE89" s="164">
        <f t="shared" si="71"/>
        <v>650.9691298448367</v>
      </c>
      <c r="AF89" s="164">
        <f t="shared" si="71"/>
        <v>691.2504175756228</v>
      </c>
      <c r="AG89" s="164">
        <f t="shared" si="71"/>
        <v>1399.4840410124252</v>
      </c>
      <c r="AH89" s="164">
        <f t="shared" si="71"/>
        <v>636.1049965747659</v>
      </c>
      <c r="AI89" s="164">
        <f t="shared" si="71"/>
        <v>947.5588742697647</v>
      </c>
      <c r="AJ89" s="164">
        <f t="shared" si="71"/>
        <v>-1324.9662519685041</v>
      </c>
      <c r="AK89" s="164">
        <f t="shared" si="71"/>
        <v>6015.839823345289</v>
      </c>
      <c r="AL89" s="164">
        <f t="shared" si="71"/>
        <v>4751.963097686823</v>
      </c>
      <c r="AM89" s="164">
        <f t="shared" si="71"/>
        <v>3058.4583822604295</v>
      </c>
      <c r="AN89" s="164">
        <f t="shared" si="71"/>
        <v>3450.0517595494557</v>
      </c>
      <c r="AO89" s="164">
        <f t="shared" si="71"/>
        <v>2544.6748945771697</v>
      </c>
      <c r="AP89" s="164">
        <f t="shared" si="71"/>
        <v>4712.7369236147715</v>
      </c>
      <c r="AQ89" s="164">
        <f t="shared" si="71"/>
        <v>2575.2962119024382</v>
      </c>
      <c r="AR89" s="164">
        <f t="shared" si="71"/>
        <v>0</v>
      </c>
      <c r="AS89" s="152"/>
    </row>
    <row r="90" spans="1:45" s="133" customFormat="1" ht="15.75">
      <c r="A90" s="130"/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  <c r="AF90" s="131"/>
      <c r="AG90" s="131"/>
      <c r="AH90" s="131"/>
      <c r="AI90" s="131"/>
      <c r="AJ90" s="131"/>
      <c r="AK90" s="131"/>
      <c r="AL90" s="131"/>
      <c r="AM90" s="132"/>
      <c r="AN90" s="132"/>
      <c r="AO90" s="132"/>
      <c r="AP90" s="132"/>
      <c r="AQ90" s="132"/>
      <c r="AR90" s="132"/>
      <c r="AS90" s="132"/>
    </row>
    <row r="91" spans="1:45" s="1" customFormat="1" ht="13.5" customHeight="1">
      <c r="A91" s="170" t="s">
        <v>25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</row>
    <row r="92" spans="1:47" s="2" customFormat="1" ht="12.75">
      <c r="A92" s="4"/>
      <c r="B92" s="2">
        <f aca="true" t="shared" si="72" ref="B92:Q92">B94-B98</f>
        <v>-34.77999999999997</v>
      </c>
      <c r="C92" s="2">
        <f t="shared" si="72"/>
        <v>13.267100000000028</v>
      </c>
      <c r="D92" s="2">
        <f t="shared" si="72"/>
        <v>41.20360000000005</v>
      </c>
      <c r="E92" s="2">
        <f t="shared" si="72"/>
        <v>125.68719999999996</v>
      </c>
      <c r="F92" s="2">
        <f t="shared" si="72"/>
        <v>169.9656000000001</v>
      </c>
      <c r="G92" s="2">
        <f t="shared" si="72"/>
        <v>67.42899999999997</v>
      </c>
      <c r="H92" s="2">
        <f t="shared" si="72"/>
        <v>29.434799999999996</v>
      </c>
      <c r="I92" s="2">
        <f t="shared" si="72"/>
        <v>5.801600000000008</v>
      </c>
      <c r="J92" s="2">
        <f t="shared" si="72"/>
        <v>-20.536999999999807</v>
      </c>
      <c r="K92" s="2">
        <f t="shared" si="72"/>
        <v>570.7600000000002</v>
      </c>
      <c r="L92" s="2">
        <f t="shared" si="72"/>
        <v>677.5509999999999</v>
      </c>
      <c r="M92" s="2">
        <f t="shared" si="72"/>
        <v>994.6840000000002</v>
      </c>
      <c r="N92" s="2">
        <f t="shared" si="72"/>
        <v>1837.835</v>
      </c>
      <c r="O92" s="2">
        <f t="shared" si="72"/>
        <v>1852.3680000000004</v>
      </c>
      <c r="P92" s="2">
        <f t="shared" si="72"/>
        <v>4690.68</v>
      </c>
      <c r="Q92" s="2">
        <f t="shared" si="72"/>
        <v>13475.973</v>
      </c>
      <c r="R92" s="2">
        <f aca="true" t="shared" si="73" ref="R92:AG92">R94-R98</f>
        <v>7351.231999999998</v>
      </c>
      <c r="S92" s="2">
        <f t="shared" si="73"/>
        <v>10643.094000000001</v>
      </c>
      <c r="T92" s="2">
        <f t="shared" si="73"/>
        <v>7986.614</v>
      </c>
      <c r="U92" s="2">
        <f t="shared" si="73"/>
        <v>4175.976000000001</v>
      </c>
      <c r="V92" s="2">
        <f t="shared" si="73"/>
        <v>16232.56</v>
      </c>
      <c r="W92" s="2">
        <f t="shared" si="73"/>
        <v>518.6840000000011</v>
      </c>
      <c r="X92" s="2">
        <f t="shared" si="73"/>
        <v>-2616.625</v>
      </c>
      <c r="Y92" s="2">
        <f t="shared" si="73"/>
        <v>9587.505000000001</v>
      </c>
      <c r="Z92" s="2">
        <f t="shared" si="73"/>
        <v>3623.5959999999977</v>
      </c>
      <c r="AA92" s="2">
        <f t="shared" si="73"/>
        <v>4448.231999999998</v>
      </c>
      <c r="AB92" s="2">
        <f t="shared" si="73"/>
        <v>1894.705</v>
      </c>
      <c r="AC92" s="2">
        <f t="shared" si="73"/>
        <v>-3425.9919999999984</v>
      </c>
      <c r="AD92" s="2">
        <f t="shared" si="73"/>
        <v>16.83599999999933</v>
      </c>
      <c r="AE92" s="2">
        <f t="shared" si="73"/>
        <v>205.992000000002</v>
      </c>
      <c r="AF92" s="2">
        <f t="shared" si="73"/>
        <v>-174.42399999999907</v>
      </c>
      <c r="AG92" s="2">
        <f t="shared" si="73"/>
        <v>1076.1659999999974</v>
      </c>
      <c r="AH92" s="2">
        <f>AH94-AH98</f>
        <v>-6361.591999999997</v>
      </c>
      <c r="AI92" s="2">
        <f aca="true" t="shared" si="74" ref="AI92:AQ92">AI94-AI98</f>
        <v>-3276.7000000000007</v>
      </c>
      <c r="AJ92" s="2">
        <f t="shared" si="74"/>
        <v>-1075.7379999999976</v>
      </c>
      <c r="AK92" s="2">
        <f t="shared" si="74"/>
        <v>7120.044000000002</v>
      </c>
      <c r="AL92" s="2">
        <f t="shared" si="74"/>
        <v>5949.492000000002</v>
      </c>
      <c r="AM92" s="2">
        <f t="shared" si="74"/>
        <v>-10923</v>
      </c>
      <c r="AN92" s="2">
        <f t="shared" si="74"/>
        <v>-12965</v>
      </c>
      <c r="AO92" s="2">
        <f t="shared" si="74"/>
        <v>-18876</v>
      </c>
      <c r="AP92" s="2">
        <f t="shared" si="74"/>
        <v>-8316</v>
      </c>
      <c r="AQ92" s="2">
        <f t="shared" si="74"/>
        <v>-4405</v>
      </c>
      <c r="AR92" s="2">
        <f>AR94-AR98</f>
        <v>-15432</v>
      </c>
      <c r="AS92" s="2">
        <f>AS94-AS98</f>
        <v>-16703</v>
      </c>
      <c r="AT92" s="2">
        <f>AT94-AT98</f>
        <v>-25450</v>
      </c>
      <c r="AU92" s="2">
        <f>AU94-AU98</f>
        <v>0</v>
      </c>
    </row>
    <row r="93" spans="1:47" s="7" customFormat="1" ht="12.75">
      <c r="A93" s="17" t="s">
        <v>26</v>
      </c>
      <c r="B93" s="7">
        <f aca="true" t="shared" si="75" ref="B93:Q93">B94-B97</f>
        <v>-89.90000000000003</v>
      </c>
      <c r="C93" s="7">
        <f t="shared" si="75"/>
        <v>-40.799999999999955</v>
      </c>
      <c r="D93" s="7">
        <f t="shared" si="75"/>
        <v>-10.800000000000011</v>
      </c>
      <c r="E93" s="7">
        <f t="shared" si="75"/>
        <v>79.99999999999994</v>
      </c>
      <c r="F93" s="7">
        <f t="shared" si="75"/>
        <v>123.80000000000007</v>
      </c>
      <c r="G93" s="7">
        <f t="shared" si="75"/>
        <v>1.1999999999999318</v>
      </c>
      <c r="H93" s="7">
        <f t="shared" si="75"/>
        <v>-52.10000000000002</v>
      </c>
      <c r="I93" s="7">
        <f t="shared" si="75"/>
        <v>-93.30000000000007</v>
      </c>
      <c r="J93" s="7">
        <f t="shared" si="75"/>
        <v>-152.0999999999999</v>
      </c>
      <c r="K93" s="7">
        <f t="shared" si="75"/>
        <v>405</v>
      </c>
      <c r="L93" s="7">
        <f t="shared" si="75"/>
        <v>489</v>
      </c>
      <c r="M93" s="7">
        <f t="shared" si="75"/>
        <v>788</v>
      </c>
      <c r="N93" s="7">
        <f t="shared" si="75"/>
        <v>1563</v>
      </c>
      <c r="O93" s="7">
        <f t="shared" si="75"/>
        <v>1499</v>
      </c>
      <c r="P93" s="7">
        <f t="shared" si="75"/>
        <v>4165</v>
      </c>
      <c r="Q93" s="7">
        <f t="shared" si="75"/>
        <v>12297</v>
      </c>
      <c r="R93" s="7">
        <f aca="true" t="shared" si="76" ref="R93:AG93">R94-R97</f>
        <v>5264</v>
      </c>
      <c r="S93" s="7">
        <f t="shared" si="76"/>
        <v>8373</v>
      </c>
      <c r="T93" s="7">
        <f t="shared" si="76"/>
        <v>5580</v>
      </c>
      <c r="U93" s="7">
        <f t="shared" si="76"/>
        <v>2331</v>
      </c>
      <c r="V93" s="7">
        <f t="shared" si="76"/>
        <v>14950</v>
      </c>
      <c r="W93" s="7">
        <f t="shared" si="76"/>
        <v>-1148</v>
      </c>
      <c r="X93" s="7">
        <f t="shared" si="76"/>
        <v>-4556</v>
      </c>
      <c r="Y93" s="7">
        <f t="shared" si="76"/>
        <v>7737</v>
      </c>
      <c r="Z93" s="7">
        <f t="shared" si="76"/>
        <v>904</v>
      </c>
      <c r="AA93" s="7">
        <f t="shared" si="76"/>
        <v>2593</v>
      </c>
      <c r="AB93" s="7">
        <f t="shared" si="76"/>
        <v>454</v>
      </c>
      <c r="AC93" s="7">
        <f t="shared" si="76"/>
        <v>-4656</v>
      </c>
      <c r="AD93" s="7">
        <f t="shared" si="76"/>
        <v>-1320</v>
      </c>
      <c r="AE93" s="7">
        <f t="shared" si="76"/>
        <v>101</v>
      </c>
      <c r="AF93" s="7">
        <f t="shared" si="76"/>
        <v>-367</v>
      </c>
      <c r="AG93" s="7">
        <f t="shared" si="76"/>
        <v>975</v>
      </c>
      <c r="AH93" s="7">
        <f aca="true" t="shared" si="77" ref="AH93:AS93">AH94-AH97</f>
        <v>-6529</v>
      </c>
      <c r="AI93" s="7">
        <f t="shared" si="77"/>
        <v>-3406</v>
      </c>
      <c r="AJ93" s="7">
        <f t="shared" si="77"/>
        <v>-1207</v>
      </c>
      <c r="AK93" s="7">
        <f t="shared" si="77"/>
        <v>6817</v>
      </c>
      <c r="AL93" s="7">
        <f t="shared" si="77"/>
        <v>5586</v>
      </c>
      <c r="AM93" s="7">
        <f t="shared" si="77"/>
        <v>7402</v>
      </c>
      <c r="AN93" s="7">
        <f t="shared" si="77"/>
        <v>4258</v>
      </c>
      <c r="AO93" s="7">
        <f t="shared" si="77"/>
        <v>-1168</v>
      </c>
      <c r="AP93" s="7">
        <f t="shared" si="77"/>
        <v>7597</v>
      </c>
      <c r="AQ93" s="7">
        <f t="shared" si="77"/>
        <v>13375</v>
      </c>
      <c r="AR93" s="7">
        <f t="shared" si="77"/>
        <v>5775</v>
      </c>
      <c r="AS93" s="7">
        <f t="shared" si="77"/>
        <v>6201</v>
      </c>
      <c r="AT93" s="7">
        <f>AT94-AT97</f>
        <v>4993</v>
      </c>
      <c r="AU93" s="7">
        <f>AU94-AU97</f>
        <v>0</v>
      </c>
    </row>
    <row r="94" spans="1:47" s="21" customFormat="1" ht="12.75">
      <c r="A94" s="23" t="s">
        <v>27</v>
      </c>
      <c r="B94" s="21">
        <f aca="true" t="shared" si="78" ref="B94:Q94">B95+B96</f>
        <v>430.09999999999997</v>
      </c>
      <c r="C94" s="21">
        <f t="shared" si="78"/>
        <v>464.5</v>
      </c>
      <c r="D94" s="21">
        <f t="shared" si="78"/>
        <v>479.8</v>
      </c>
      <c r="E94" s="21">
        <f t="shared" si="78"/>
        <v>519.3</v>
      </c>
      <c r="F94" s="21">
        <f t="shared" si="78"/>
        <v>567.7</v>
      </c>
      <c r="G94" s="21">
        <f t="shared" si="78"/>
        <v>644.1999999999999</v>
      </c>
      <c r="H94" s="21">
        <f t="shared" si="78"/>
        <v>739.5</v>
      </c>
      <c r="I94" s="21">
        <f t="shared" si="78"/>
        <v>859.5999999999999</v>
      </c>
      <c r="J94" s="21">
        <f t="shared" si="78"/>
        <v>1054.9</v>
      </c>
      <c r="K94" s="21">
        <f t="shared" si="78"/>
        <v>1921</v>
      </c>
      <c r="L94" s="21">
        <f t="shared" si="78"/>
        <v>2228</v>
      </c>
      <c r="M94" s="21">
        <f t="shared" si="78"/>
        <v>2711</v>
      </c>
      <c r="N94" s="21">
        <f t="shared" si="78"/>
        <v>4048</v>
      </c>
      <c r="O94" s="21">
        <f t="shared" si="78"/>
        <v>4663</v>
      </c>
      <c r="P94" s="21">
        <f t="shared" si="78"/>
        <v>8953</v>
      </c>
      <c r="Q94" s="21">
        <f t="shared" si="78"/>
        <v>21596</v>
      </c>
      <c r="R94" s="21">
        <f aca="true" t="shared" si="79" ref="R94:AG94">R95+R96</f>
        <v>20626</v>
      </c>
      <c r="S94" s="21">
        <f t="shared" si="79"/>
        <v>24719</v>
      </c>
      <c r="T94" s="21">
        <f>T95+T96</f>
        <v>23974</v>
      </c>
      <c r="U94" s="21">
        <f t="shared" si="79"/>
        <v>16203</v>
      </c>
      <c r="V94" s="21">
        <f t="shared" si="79"/>
        <v>24970</v>
      </c>
      <c r="W94" s="21">
        <f t="shared" si="79"/>
        <v>12293</v>
      </c>
      <c r="X94" s="21">
        <f t="shared" si="79"/>
        <v>10959</v>
      </c>
      <c r="Y94" s="21">
        <f t="shared" si="79"/>
        <v>22082</v>
      </c>
      <c r="Z94" s="21">
        <f t="shared" si="79"/>
        <v>21507</v>
      </c>
      <c r="AA94" s="21">
        <f t="shared" si="79"/>
        <v>17087</v>
      </c>
      <c r="AB94" s="21">
        <f t="shared" si="79"/>
        <v>14175</v>
      </c>
      <c r="AC94" s="21">
        <f t="shared" si="79"/>
        <v>7171</v>
      </c>
      <c r="AD94" s="21">
        <f t="shared" si="79"/>
        <v>11916</v>
      </c>
      <c r="AE94" s="21">
        <f t="shared" si="79"/>
        <v>10709</v>
      </c>
      <c r="AF94" s="21">
        <f t="shared" si="79"/>
        <v>13081</v>
      </c>
      <c r="AG94" s="21">
        <f t="shared" si="79"/>
        <v>19305</v>
      </c>
      <c r="AH94" s="21">
        <f aca="true" t="shared" si="80" ref="AH94:AQ94">AH95+AH96</f>
        <v>18661</v>
      </c>
      <c r="AI94" s="21">
        <f t="shared" si="80"/>
        <v>19868</v>
      </c>
      <c r="AJ94" s="21">
        <f t="shared" si="80"/>
        <v>18080</v>
      </c>
      <c r="AK94" s="21">
        <f t="shared" si="80"/>
        <v>19434</v>
      </c>
      <c r="AL94" s="21">
        <f t="shared" si="80"/>
        <v>18360</v>
      </c>
      <c r="AM94" s="21">
        <f t="shared" si="80"/>
        <v>22391</v>
      </c>
      <c r="AN94" s="21">
        <f t="shared" si="80"/>
        <v>18381</v>
      </c>
      <c r="AO94" s="21">
        <f t="shared" si="80"/>
        <v>13118</v>
      </c>
      <c r="AP94" s="21">
        <f t="shared" si="80"/>
        <v>21030</v>
      </c>
      <c r="AQ94" s="21">
        <f t="shared" si="80"/>
        <v>28461</v>
      </c>
      <c r="AR94" s="21">
        <f>AR95+AR96</f>
        <v>23904</v>
      </c>
      <c r="AS94" s="21">
        <f>AS95+AS96</f>
        <v>28237</v>
      </c>
      <c r="AT94" s="21">
        <f>AT95+AT96</f>
        <v>33788</v>
      </c>
      <c r="AU94" s="21">
        <f>AU95+AU96</f>
        <v>0</v>
      </c>
    </row>
    <row r="95" spans="1:46" s="2" customFormat="1" ht="12.75">
      <c r="A95" s="4" t="s">
        <v>28</v>
      </c>
      <c r="B95" s="2">
        <f>B330+B331</f>
        <v>335.4</v>
      </c>
      <c r="C95" s="2">
        <f aca="true" t="shared" si="81" ref="C95:J95">C330+C331</f>
        <v>358.9</v>
      </c>
      <c r="D95" s="2">
        <f t="shared" si="81"/>
        <v>391.3</v>
      </c>
      <c r="E95" s="2">
        <f t="shared" si="81"/>
        <v>437.2</v>
      </c>
      <c r="F95" s="2">
        <f t="shared" si="81"/>
        <v>470.8</v>
      </c>
      <c r="G95" s="2">
        <f t="shared" si="81"/>
        <v>555.4</v>
      </c>
      <c r="H95" s="2">
        <f t="shared" si="81"/>
        <v>607.5</v>
      </c>
      <c r="I95" s="2">
        <f t="shared" si="81"/>
        <v>715.8</v>
      </c>
      <c r="J95" s="2">
        <f t="shared" si="81"/>
        <v>857.4</v>
      </c>
      <c r="K95" s="2">
        <v>1704</v>
      </c>
      <c r="L95" s="2">
        <v>1984</v>
      </c>
      <c r="M95" s="2">
        <v>2425</v>
      </c>
      <c r="N95" s="2">
        <v>3669</v>
      </c>
      <c r="O95" s="2">
        <v>4151</v>
      </c>
      <c r="P95" s="2">
        <v>8318</v>
      </c>
      <c r="Q95" s="2">
        <v>21014</v>
      </c>
      <c r="R95" s="2">
        <v>20034</v>
      </c>
      <c r="S95" s="2">
        <v>24179</v>
      </c>
      <c r="T95" s="2">
        <v>23451</v>
      </c>
      <c r="U95" s="2">
        <v>15660</v>
      </c>
      <c r="V95" s="2">
        <v>24158</v>
      </c>
      <c r="W95" s="2">
        <v>11648</v>
      </c>
      <c r="X95" s="2">
        <v>10619</v>
      </c>
      <c r="Y95" s="2">
        <v>21798</v>
      </c>
      <c r="Z95" s="2">
        <v>21150</v>
      </c>
      <c r="AA95" s="2">
        <v>16726</v>
      </c>
      <c r="AB95" s="2">
        <v>13710</v>
      </c>
      <c r="AC95" s="2">
        <v>6255</v>
      </c>
      <c r="AD95" s="2">
        <v>10755</v>
      </c>
      <c r="AE95" s="2">
        <v>9673</v>
      </c>
      <c r="AF95" s="2">
        <v>12037</v>
      </c>
      <c r="AG95" s="2">
        <v>17993</v>
      </c>
      <c r="AH95" s="2">
        <v>16012</v>
      </c>
      <c r="AI95" s="2">
        <v>16880</v>
      </c>
      <c r="AJ95" s="2">
        <v>14333</v>
      </c>
      <c r="AK95" s="2">
        <v>14603</v>
      </c>
      <c r="AL95" s="2">
        <v>15103</v>
      </c>
      <c r="AM95" s="2">
        <v>19271</v>
      </c>
      <c r="AN95" s="2">
        <v>15471</v>
      </c>
      <c r="AO95" s="2">
        <v>9933</v>
      </c>
      <c r="AP95" s="2">
        <v>17089</v>
      </c>
      <c r="AQ95" s="2">
        <v>24280</v>
      </c>
      <c r="AR95" s="2">
        <v>19339</v>
      </c>
      <c r="AS95" s="2">
        <v>22966</v>
      </c>
      <c r="AT95" s="2">
        <v>27033</v>
      </c>
    </row>
    <row r="96" spans="1:46" s="2" customFormat="1" ht="12.75">
      <c r="A96" s="4" t="s">
        <v>29</v>
      </c>
      <c r="B96" s="2">
        <f aca="true" t="shared" si="82" ref="B96:J96">B332</f>
        <v>94.7</v>
      </c>
      <c r="C96" s="2">
        <f t="shared" si="82"/>
        <v>105.6</v>
      </c>
      <c r="D96" s="2">
        <f t="shared" si="82"/>
        <v>88.5</v>
      </c>
      <c r="E96" s="2">
        <f t="shared" si="82"/>
        <v>82.1</v>
      </c>
      <c r="F96" s="2">
        <f t="shared" si="82"/>
        <v>96.9</v>
      </c>
      <c r="G96" s="2">
        <f t="shared" si="82"/>
        <v>88.8</v>
      </c>
      <c r="H96" s="2">
        <f t="shared" si="82"/>
        <v>132</v>
      </c>
      <c r="I96" s="2">
        <f t="shared" si="82"/>
        <v>143.8</v>
      </c>
      <c r="J96" s="2">
        <f t="shared" si="82"/>
        <v>197.5</v>
      </c>
      <c r="K96" s="2">
        <v>217</v>
      </c>
      <c r="L96" s="2">
        <v>244</v>
      </c>
      <c r="M96" s="2">
        <v>286</v>
      </c>
      <c r="N96" s="2">
        <v>379</v>
      </c>
      <c r="O96" s="2">
        <v>512</v>
      </c>
      <c r="P96" s="2">
        <v>635</v>
      </c>
      <c r="Q96" s="2">
        <v>582</v>
      </c>
      <c r="R96" s="2">
        <v>592</v>
      </c>
      <c r="S96" s="2">
        <v>540</v>
      </c>
      <c r="T96" s="58">
        <v>523</v>
      </c>
      <c r="U96" s="2">
        <v>543</v>
      </c>
      <c r="V96" s="2">
        <v>812</v>
      </c>
      <c r="W96" s="2">
        <v>645</v>
      </c>
      <c r="X96" s="2">
        <v>340</v>
      </c>
      <c r="Y96" s="2">
        <v>284</v>
      </c>
      <c r="Z96" s="2">
        <v>357</v>
      </c>
      <c r="AA96" s="2">
        <v>361</v>
      </c>
      <c r="AB96" s="2">
        <v>465</v>
      </c>
      <c r="AC96" s="2">
        <v>916</v>
      </c>
      <c r="AD96" s="2">
        <v>1161</v>
      </c>
      <c r="AE96" s="2">
        <v>1036</v>
      </c>
      <c r="AF96" s="2">
        <v>1044</v>
      </c>
      <c r="AG96" s="2">
        <v>1312</v>
      </c>
      <c r="AH96" s="2">
        <v>2649</v>
      </c>
      <c r="AI96" s="2">
        <v>2988</v>
      </c>
      <c r="AJ96" s="2">
        <v>3747</v>
      </c>
      <c r="AK96" s="2">
        <v>4831</v>
      </c>
      <c r="AL96" s="2">
        <v>3257</v>
      </c>
      <c r="AM96" s="2">
        <v>3120</v>
      </c>
      <c r="AN96" s="2">
        <v>2910</v>
      </c>
      <c r="AO96" s="2">
        <v>3185</v>
      </c>
      <c r="AP96" s="2">
        <v>3941</v>
      </c>
      <c r="AQ96" s="2">
        <v>4181</v>
      </c>
      <c r="AR96" s="2">
        <v>4565</v>
      </c>
      <c r="AS96" s="2">
        <v>5271</v>
      </c>
      <c r="AT96" s="2">
        <v>6755</v>
      </c>
    </row>
    <row r="97" spans="1:46" s="21" customFormat="1" ht="12.75">
      <c r="A97" s="23" t="s">
        <v>30</v>
      </c>
      <c r="B97" s="21">
        <f>-B339</f>
        <v>520</v>
      </c>
      <c r="C97" s="21">
        <f aca="true" t="shared" si="83" ref="C97:J97">-C339</f>
        <v>505.29999999999995</v>
      </c>
      <c r="D97" s="21">
        <f t="shared" si="83"/>
        <v>490.6</v>
      </c>
      <c r="E97" s="21">
        <f t="shared" si="83"/>
        <v>439.3</v>
      </c>
      <c r="F97" s="21">
        <f t="shared" si="83"/>
        <v>443.9</v>
      </c>
      <c r="G97" s="21">
        <f t="shared" si="83"/>
        <v>643</v>
      </c>
      <c r="H97" s="21">
        <f t="shared" si="83"/>
        <v>791.6</v>
      </c>
      <c r="I97" s="21">
        <f t="shared" si="83"/>
        <v>952.9</v>
      </c>
      <c r="J97" s="21">
        <f t="shared" si="83"/>
        <v>1207</v>
      </c>
      <c r="K97" s="21">
        <f>86+1428+2</f>
        <v>1516</v>
      </c>
      <c r="L97" s="21">
        <f>120+1613+6</f>
        <v>1739</v>
      </c>
      <c r="M97" s="21">
        <f>95+1822+6</f>
        <v>1923</v>
      </c>
      <c r="N97" s="21">
        <f>124+2358+3</f>
        <v>2485</v>
      </c>
      <c r="O97" s="21">
        <f>128+3033+3</f>
        <v>3164</v>
      </c>
      <c r="P97" s="21">
        <f>4785+3</f>
        <v>4788</v>
      </c>
      <c r="Q97" s="21">
        <f>9285+14</f>
        <v>9299</v>
      </c>
      <c r="R97" s="21">
        <f>15240+122</f>
        <v>15362</v>
      </c>
      <c r="S97" s="21">
        <f>16086+260</f>
        <v>16346</v>
      </c>
      <c r="T97" s="21">
        <f>18197+197</f>
        <v>18394</v>
      </c>
      <c r="U97" s="21">
        <f>13796+76</f>
        <v>13872</v>
      </c>
      <c r="V97" s="21">
        <v>10020</v>
      </c>
      <c r="W97" s="21">
        <v>13441</v>
      </c>
      <c r="X97" s="21">
        <v>15515</v>
      </c>
      <c r="Y97" s="21">
        <v>14345</v>
      </c>
      <c r="Z97" s="21">
        <v>20603</v>
      </c>
      <c r="AA97" s="21">
        <v>14494</v>
      </c>
      <c r="AB97" s="21">
        <v>13721</v>
      </c>
      <c r="AC97" s="21">
        <v>11827</v>
      </c>
      <c r="AD97" s="21">
        <v>13236</v>
      </c>
      <c r="AE97" s="21">
        <v>10608</v>
      </c>
      <c r="AF97" s="21">
        <v>13448</v>
      </c>
      <c r="AG97" s="21">
        <v>18330</v>
      </c>
      <c r="AH97" s="21">
        <v>25190</v>
      </c>
      <c r="AI97" s="21">
        <v>23274</v>
      </c>
      <c r="AJ97" s="21">
        <v>19287</v>
      </c>
      <c r="AK97" s="22">
        <v>12617</v>
      </c>
      <c r="AL97" s="21">
        <v>12774</v>
      </c>
      <c r="AM97" s="21">
        <v>14989</v>
      </c>
      <c r="AN97" s="21">
        <v>14123</v>
      </c>
      <c r="AO97" s="21">
        <v>14286</v>
      </c>
      <c r="AP97" s="21">
        <v>13433</v>
      </c>
      <c r="AQ97" s="21">
        <v>15086</v>
      </c>
      <c r="AR97" s="21">
        <v>18129</v>
      </c>
      <c r="AS97" s="21">
        <v>22036</v>
      </c>
      <c r="AT97" s="21">
        <v>28795</v>
      </c>
    </row>
    <row r="98" spans="1:47" s="21" customFormat="1" ht="12.75">
      <c r="A98" s="111" t="s">
        <v>31</v>
      </c>
      <c r="B98" s="21">
        <f>B97-B115</f>
        <v>464.87999999999994</v>
      </c>
      <c r="C98" s="21">
        <f aca="true" t="shared" si="84" ref="C98:R98">C97-C115</f>
        <v>451.2329</v>
      </c>
      <c r="D98" s="21">
        <f t="shared" si="84"/>
        <v>438.59639999999996</v>
      </c>
      <c r="E98" s="21">
        <f t="shared" si="84"/>
        <v>393.6128</v>
      </c>
      <c r="F98" s="21">
        <f t="shared" si="84"/>
        <v>397.73439999999994</v>
      </c>
      <c r="G98" s="21">
        <f t="shared" si="84"/>
        <v>576.771</v>
      </c>
      <c r="H98" s="21">
        <f t="shared" si="84"/>
        <v>710.0652</v>
      </c>
      <c r="I98" s="21">
        <f t="shared" si="84"/>
        <v>853.7983999999999</v>
      </c>
      <c r="J98" s="21">
        <f t="shared" si="84"/>
        <v>1075.437</v>
      </c>
      <c r="K98" s="21">
        <f t="shared" si="84"/>
        <v>1350.2399999999998</v>
      </c>
      <c r="L98" s="21">
        <f t="shared" si="84"/>
        <v>1550.449</v>
      </c>
      <c r="M98" s="21">
        <f t="shared" si="84"/>
        <v>1716.3159999999998</v>
      </c>
      <c r="N98" s="21">
        <f t="shared" si="84"/>
        <v>2210.165</v>
      </c>
      <c r="O98" s="21">
        <f t="shared" si="84"/>
        <v>2810.6319999999996</v>
      </c>
      <c r="P98" s="21">
        <f t="shared" si="84"/>
        <v>4262.32</v>
      </c>
      <c r="Q98" s="21">
        <f t="shared" si="84"/>
        <v>8120.027</v>
      </c>
      <c r="R98" s="21">
        <f t="shared" si="84"/>
        <v>13274.768000000002</v>
      </c>
      <c r="S98" s="21">
        <f aca="true" t="shared" si="85" ref="S98:AD98">S97-S115</f>
        <v>14075.905999999999</v>
      </c>
      <c r="T98" s="21">
        <f t="shared" si="85"/>
        <v>15987.386</v>
      </c>
      <c r="U98" s="21">
        <f t="shared" si="85"/>
        <v>12027.024</v>
      </c>
      <c r="V98" s="21">
        <f t="shared" si="85"/>
        <v>8737.44</v>
      </c>
      <c r="W98" s="21">
        <f t="shared" si="85"/>
        <v>11774.315999999999</v>
      </c>
      <c r="X98" s="21">
        <f t="shared" si="85"/>
        <v>13575.625</v>
      </c>
      <c r="Y98" s="21">
        <f t="shared" si="85"/>
        <v>12494.494999999999</v>
      </c>
      <c r="Z98" s="21">
        <f t="shared" si="85"/>
        <v>17883.404000000002</v>
      </c>
      <c r="AA98" s="21">
        <f t="shared" si="85"/>
        <v>12638.768000000002</v>
      </c>
      <c r="AB98" s="21">
        <f t="shared" si="85"/>
        <v>12280.295</v>
      </c>
      <c r="AC98" s="21">
        <f t="shared" si="85"/>
        <v>10596.991999999998</v>
      </c>
      <c r="AD98" s="21">
        <f t="shared" si="85"/>
        <v>11899.164</v>
      </c>
      <c r="AE98" s="21">
        <f>AE97-AE115+AE114</f>
        <v>10503.007999999998</v>
      </c>
      <c r="AF98" s="21">
        <f aca="true" t="shared" si="86" ref="AF98:AQ98">AF97-AF115+AF114</f>
        <v>13255.423999999999</v>
      </c>
      <c r="AG98" s="21">
        <f t="shared" si="86"/>
        <v>18228.834000000003</v>
      </c>
      <c r="AH98" s="21">
        <f t="shared" si="86"/>
        <v>25022.591999999997</v>
      </c>
      <c r="AI98" s="21">
        <f t="shared" si="86"/>
        <v>23144.7</v>
      </c>
      <c r="AJ98" s="21">
        <f t="shared" si="86"/>
        <v>19155.737999999998</v>
      </c>
      <c r="AK98" s="21">
        <f t="shared" si="86"/>
        <v>12313.955999999998</v>
      </c>
      <c r="AL98" s="21">
        <f t="shared" si="86"/>
        <v>12410.507999999998</v>
      </c>
      <c r="AM98" s="21">
        <f>AM97-AM115+AM114</f>
        <v>33314</v>
      </c>
      <c r="AN98" s="21">
        <f t="shared" si="86"/>
        <v>31346</v>
      </c>
      <c r="AO98" s="21">
        <f t="shared" si="86"/>
        <v>31994</v>
      </c>
      <c r="AP98" s="21">
        <f t="shared" si="86"/>
        <v>29346</v>
      </c>
      <c r="AQ98" s="21">
        <f t="shared" si="86"/>
        <v>32866</v>
      </c>
      <c r="AR98" s="21">
        <f>AR97-AR115+AR114</f>
        <v>39336</v>
      </c>
      <c r="AS98" s="21">
        <f>AS97-AS115+AS114</f>
        <v>44940</v>
      </c>
      <c r="AT98" s="21">
        <f>AT97-AT115+AT114</f>
        <v>59238</v>
      </c>
      <c r="AU98" s="21">
        <f>AU97-AU115+AU114</f>
        <v>0</v>
      </c>
    </row>
    <row r="99" spans="1:47" s="2" customFormat="1" ht="12.75">
      <c r="A99" s="4"/>
      <c r="B99" s="75">
        <f aca="true" t="shared" si="87" ref="B99:Q99">B101-B113</f>
        <v>-74.72000000000003</v>
      </c>
      <c r="C99" s="75">
        <f t="shared" si="87"/>
        <v>-83.06709999999998</v>
      </c>
      <c r="D99" s="75">
        <f t="shared" si="87"/>
        <v>-68.40360000000004</v>
      </c>
      <c r="E99" s="75">
        <f t="shared" si="87"/>
        <v>-83.58720000000002</v>
      </c>
      <c r="F99" s="75">
        <f t="shared" si="87"/>
        <v>-99.26560000000003</v>
      </c>
      <c r="G99" s="75">
        <f t="shared" si="87"/>
        <v>-125.22899999999997</v>
      </c>
      <c r="H99" s="75">
        <f t="shared" si="87"/>
        <v>-144.43479999999997</v>
      </c>
      <c r="I99" s="75">
        <f t="shared" si="87"/>
        <v>-154.2016000000001</v>
      </c>
      <c r="J99" s="75">
        <f t="shared" si="87"/>
        <v>-191.763</v>
      </c>
      <c r="K99" s="75">
        <f t="shared" si="87"/>
        <v>-984.7600000000002</v>
      </c>
      <c r="L99" s="75">
        <f t="shared" si="87"/>
        <v>-1168.551</v>
      </c>
      <c r="M99" s="75">
        <f t="shared" si="87"/>
        <v>-1431.6840000000002</v>
      </c>
      <c r="N99" s="75">
        <f t="shared" si="87"/>
        <v>-1813.835</v>
      </c>
      <c r="O99" s="75">
        <f t="shared" si="87"/>
        <v>-2123.3680000000004</v>
      </c>
      <c r="P99" s="75">
        <f t="shared" si="87"/>
        <v>-1133.6800000000005</v>
      </c>
      <c r="Q99" s="75">
        <f t="shared" si="87"/>
        <v>-1648.973</v>
      </c>
      <c r="R99" s="75">
        <f aca="true" t="shared" si="88" ref="R99:AG99">R101-R113</f>
        <v>-2973.231999999998</v>
      </c>
      <c r="S99" s="75">
        <f t="shared" si="88"/>
        <v>-3393.094</v>
      </c>
      <c r="T99" s="75">
        <f t="shared" si="88"/>
        <v>-4824.614</v>
      </c>
      <c r="U99" s="75">
        <f t="shared" si="88"/>
        <v>-5513.976000000001</v>
      </c>
      <c r="V99" s="75">
        <f t="shared" si="88"/>
        <v>-3433.5599999999986</v>
      </c>
      <c r="W99" s="75">
        <f t="shared" si="88"/>
        <v>-3263.684000000001</v>
      </c>
      <c r="X99" s="75">
        <f t="shared" si="88"/>
        <v>-2198.375</v>
      </c>
      <c r="Y99" s="75">
        <f t="shared" si="88"/>
        <v>-2219.505</v>
      </c>
      <c r="Z99" s="75">
        <f t="shared" si="88"/>
        <v>-3265.5959999999977</v>
      </c>
      <c r="AA99" s="75">
        <f t="shared" si="88"/>
        <v>-2524.231999999998</v>
      </c>
      <c r="AB99" s="75">
        <f t="shared" si="88"/>
        <v>-2370.705</v>
      </c>
      <c r="AC99" s="75">
        <f t="shared" si="88"/>
        <v>-1729.0080000000012</v>
      </c>
      <c r="AD99" s="75">
        <f t="shared" si="88"/>
        <v>-2106.836</v>
      </c>
      <c r="AE99" s="75">
        <f t="shared" si="88"/>
        <v>-2074.992000000001</v>
      </c>
      <c r="AF99" s="75">
        <f t="shared" si="88"/>
        <v>-2516.576000000001</v>
      </c>
      <c r="AG99" s="75">
        <f t="shared" si="88"/>
        <v>-3249.1659999999993</v>
      </c>
      <c r="AH99" s="75">
        <f>AH101-AH113</f>
        <v>-5086.408000000003</v>
      </c>
      <c r="AI99" s="75">
        <f aca="true" t="shared" si="89" ref="AI99:AQ99">AI101-AI113</f>
        <v>-5223.299999999999</v>
      </c>
      <c r="AJ99" s="75">
        <f t="shared" si="89"/>
        <v>-4639.262000000002</v>
      </c>
      <c r="AK99" s="75">
        <f t="shared" si="89"/>
        <v>-3362.0440000000017</v>
      </c>
      <c r="AL99" s="75">
        <f t="shared" si="89"/>
        <v>-2587.492000000001</v>
      </c>
      <c r="AM99" s="75">
        <f t="shared" si="89"/>
        <v>15692</v>
      </c>
      <c r="AN99" s="75">
        <f t="shared" si="89"/>
        <v>14785</v>
      </c>
      <c r="AO99" s="75">
        <f t="shared" si="89"/>
        <v>16239</v>
      </c>
      <c r="AP99" s="75">
        <f t="shared" si="89"/>
        <v>14380</v>
      </c>
      <c r="AQ99" s="75">
        <f t="shared" si="89"/>
        <v>16295</v>
      </c>
      <c r="AR99" s="75">
        <f>AR101-AR113</f>
        <v>20712</v>
      </c>
      <c r="AS99" s="75">
        <f>AS101-AS113</f>
        <v>27112</v>
      </c>
      <c r="AT99" s="75">
        <f>AT101-AT113</f>
        <v>36038</v>
      </c>
      <c r="AU99" s="75" t="e">
        <f>AU101-AU113</f>
        <v>#VALUE!</v>
      </c>
    </row>
    <row r="100" spans="1:47" s="7" customFormat="1" ht="12.75">
      <c r="A100" s="17" t="s">
        <v>32</v>
      </c>
      <c r="B100" s="7">
        <f aca="true" t="shared" si="90" ref="B100:Q100">B101-B112</f>
        <v>-19.599999999999994</v>
      </c>
      <c r="C100" s="7">
        <f t="shared" si="90"/>
        <v>-29</v>
      </c>
      <c r="D100" s="7">
        <f t="shared" si="90"/>
        <v>-16.4</v>
      </c>
      <c r="E100" s="7">
        <f t="shared" si="90"/>
        <v>-37.89999999999999</v>
      </c>
      <c r="F100" s="7">
        <f t="shared" si="90"/>
        <v>-53.099999999999994</v>
      </c>
      <c r="G100" s="7">
        <f t="shared" si="90"/>
        <v>-58.999999999999986</v>
      </c>
      <c r="H100" s="7">
        <f t="shared" si="90"/>
        <v>-62.89999999999998</v>
      </c>
      <c r="I100" s="7">
        <f t="shared" si="90"/>
        <v>-55.10000000000002</v>
      </c>
      <c r="J100" s="7">
        <f t="shared" si="90"/>
        <v>-60.20000000000002</v>
      </c>
      <c r="K100" s="7">
        <f t="shared" si="90"/>
        <v>-819</v>
      </c>
      <c r="L100" s="7">
        <f t="shared" si="90"/>
        <v>-980</v>
      </c>
      <c r="M100" s="7">
        <f t="shared" si="90"/>
        <v>-1225</v>
      </c>
      <c r="N100" s="7">
        <f t="shared" si="90"/>
        <v>-1539</v>
      </c>
      <c r="O100" s="7">
        <f t="shared" si="90"/>
        <v>-1770</v>
      </c>
      <c r="P100" s="7">
        <f t="shared" si="90"/>
        <v>-608</v>
      </c>
      <c r="Q100" s="7">
        <f t="shared" si="90"/>
        <v>-470</v>
      </c>
      <c r="R100" s="7">
        <f aca="true" t="shared" si="91" ref="R100:AG100">R101-R112</f>
        <v>-886</v>
      </c>
      <c r="S100" s="7">
        <f t="shared" si="91"/>
        <v>-1123</v>
      </c>
      <c r="T100" s="7">
        <f t="shared" si="91"/>
        <v>-2418</v>
      </c>
      <c r="U100" s="7">
        <f t="shared" si="91"/>
        <v>-3669</v>
      </c>
      <c r="V100" s="7">
        <f t="shared" si="91"/>
        <v>-2151</v>
      </c>
      <c r="W100" s="7">
        <f t="shared" si="91"/>
        <v>-1597</v>
      </c>
      <c r="X100" s="7">
        <f t="shared" si="91"/>
        <v>-259</v>
      </c>
      <c r="Y100" s="7">
        <f t="shared" si="91"/>
        <v>-369</v>
      </c>
      <c r="Z100" s="7">
        <f t="shared" si="91"/>
        <v>-546</v>
      </c>
      <c r="AA100" s="7">
        <f t="shared" si="91"/>
        <v>-669</v>
      </c>
      <c r="AB100" s="7">
        <f t="shared" si="91"/>
        <v>-930</v>
      </c>
      <c r="AC100" s="7">
        <f t="shared" si="91"/>
        <v>-499</v>
      </c>
      <c r="AD100" s="7">
        <f t="shared" si="91"/>
        <v>-770</v>
      </c>
      <c r="AE100" s="7">
        <f t="shared" si="91"/>
        <v>-1970</v>
      </c>
      <c r="AF100" s="7">
        <f t="shared" si="91"/>
        <v>-2324</v>
      </c>
      <c r="AG100" s="7">
        <f t="shared" si="91"/>
        <v>-3148</v>
      </c>
      <c r="AH100" s="7">
        <f aca="true" t="shared" si="92" ref="AH100:AS100">AH101-AH112</f>
        <v>-4919</v>
      </c>
      <c r="AI100" s="7">
        <f t="shared" si="92"/>
        <v>-5094</v>
      </c>
      <c r="AJ100" s="7">
        <f t="shared" si="92"/>
        <v>-4508</v>
      </c>
      <c r="AK100" s="7">
        <f t="shared" si="92"/>
        <v>-3059</v>
      </c>
      <c r="AL100" s="7">
        <f t="shared" si="92"/>
        <v>-2224</v>
      </c>
      <c r="AM100" s="7">
        <f t="shared" si="92"/>
        <v>-2633</v>
      </c>
      <c r="AN100" s="7">
        <f t="shared" si="92"/>
        <v>-2438</v>
      </c>
      <c r="AO100" s="7">
        <f t="shared" si="92"/>
        <v>-1469</v>
      </c>
      <c r="AP100" s="7">
        <f t="shared" si="92"/>
        <v>-1533</v>
      </c>
      <c r="AQ100" s="7">
        <f t="shared" si="92"/>
        <v>-1485</v>
      </c>
      <c r="AR100" s="7">
        <f t="shared" si="92"/>
        <v>-495</v>
      </c>
      <c r="AS100" s="7">
        <f t="shared" si="92"/>
        <v>4208</v>
      </c>
      <c r="AT100" s="7">
        <f>AT101-AT112</f>
        <v>5595</v>
      </c>
      <c r="AU100" s="7" t="e">
        <f>AU101-AU112</f>
        <v>#VALUE!</v>
      </c>
    </row>
    <row r="101" spans="1:47" s="21" customFormat="1" ht="12.75">
      <c r="A101" s="23" t="s">
        <v>33</v>
      </c>
      <c r="B101" s="21">
        <f aca="true" t="shared" si="93" ref="B101:J101">B333</f>
        <v>71.5</v>
      </c>
      <c r="C101" s="21">
        <f t="shared" si="93"/>
        <v>63.599999999999994</v>
      </c>
      <c r="D101" s="21">
        <f t="shared" si="93"/>
        <v>58.9</v>
      </c>
      <c r="E101" s="21">
        <f t="shared" si="93"/>
        <v>50.5</v>
      </c>
      <c r="F101" s="21">
        <f t="shared" si="93"/>
        <v>51.099999999999994</v>
      </c>
      <c r="G101" s="21">
        <f t="shared" si="93"/>
        <v>57.2</v>
      </c>
      <c r="H101" s="21">
        <f t="shared" si="93"/>
        <v>77.80000000000001</v>
      </c>
      <c r="I101" s="21">
        <f t="shared" si="93"/>
        <v>81.19999999999999</v>
      </c>
      <c r="J101" s="21">
        <f t="shared" si="93"/>
        <v>120.6</v>
      </c>
      <c r="K101" s="21">
        <f aca="true" t="shared" si="94" ref="K101:Z101">K103+K104+K105+K106+K107</f>
        <v>185</v>
      </c>
      <c r="L101" s="21">
        <f t="shared" si="94"/>
        <v>204</v>
      </c>
      <c r="M101" s="21">
        <f t="shared" si="94"/>
        <v>183</v>
      </c>
      <c r="N101" s="21">
        <f t="shared" si="94"/>
        <v>278</v>
      </c>
      <c r="O101" s="21">
        <f t="shared" si="94"/>
        <v>365</v>
      </c>
      <c r="P101" s="21">
        <f t="shared" si="94"/>
        <v>744</v>
      </c>
      <c r="Q101" s="21">
        <f t="shared" si="94"/>
        <v>1712</v>
      </c>
      <c r="R101" s="21">
        <f t="shared" si="94"/>
        <v>2464</v>
      </c>
      <c r="S101" s="21">
        <f t="shared" si="94"/>
        <v>3277</v>
      </c>
      <c r="T101" s="21">
        <f t="shared" si="94"/>
        <v>4483</v>
      </c>
      <c r="U101" s="21">
        <f t="shared" si="94"/>
        <v>4219</v>
      </c>
      <c r="V101" s="21">
        <f t="shared" si="94"/>
        <v>2839</v>
      </c>
      <c r="W101" s="21">
        <f t="shared" si="94"/>
        <v>1471</v>
      </c>
      <c r="X101" s="21">
        <f t="shared" si="94"/>
        <v>1454</v>
      </c>
      <c r="Y101" s="21">
        <f t="shared" si="94"/>
        <v>1127</v>
      </c>
      <c r="Z101" s="21">
        <f t="shared" si="94"/>
        <v>1335</v>
      </c>
      <c r="AA101" s="21">
        <f aca="true" t="shared" si="95" ref="AA101:AL101">AA103+AA104+AA105+AA106+AA107</f>
        <v>1069</v>
      </c>
      <c r="AB101" s="21">
        <f t="shared" si="95"/>
        <v>763</v>
      </c>
      <c r="AC101" s="21">
        <f t="shared" si="95"/>
        <v>607</v>
      </c>
      <c r="AD101" s="21">
        <f t="shared" si="95"/>
        <v>437</v>
      </c>
      <c r="AE101" s="21">
        <f t="shared" si="95"/>
        <v>467</v>
      </c>
      <c r="AF101" s="21">
        <f t="shared" si="95"/>
        <v>798</v>
      </c>
      <c r="AG101" s="21">
        <f t="shared" si="95"/>
        <v>892</v>
      </c>
      <c r="AH101" s="21">
        <f t="shared" si="95"/>
        <v>881</v>
      </c>
      <c r="AI101" s="21">
        <f t="shared" si="95"/>
        <v>846</v>
      </c>
      <c r="AJ101" s="21">
        <f t="shared" si="95"/>
        <v>1235</v>
      </c>
      <c r="AK101" s="21">
        <f t="shared" si="95"/>
        <v>580</v>
      </c>
      <c r="AL101" s="21">
        <f t="shared" si="95"/>
        <v>909</v>
      </c>
      <c r="AM101" s="21">
        <f aca="true" t="shared" si="96" ref="AM101:AS101">AM102+AM103+AM104+AM105+AM106+AM107</f>
        <v>1348</v>
      </c>
      <c r="AN101" s="21">
        <f t="shared" si="96"/>
        <v>1658</v>
      </c>
      <c r="AO101" s="21">
        <f t="shared" si="96"/>
        <v>2023</v>
      </c>
      <c r="AP101" s="21">
        <f t="shared" si="96"/>
        <v>1396</v>
      </c>
      <c r="AQ101" s="21">
        <f t="shared" si="96"/>
        <v>2012</v>
      </c>
      <c r="AR101" s="21">
        <f t="shared" si="96"/>
        <v>3488</v>
      </c>
      <c r="AS101" s="21">
        <f t="shared" si="96"/>
        <v>12736</v>
      </c>
      <c r="AT101" s="21">
        <f>AT102+AT103+AT104+AT105+AT106+AT107</f>
        <v>16170</v>
      </c>
      <c r="AU101" s="21" t="e">
        <f>AU102+AU103+AU104+AU105+AU106+AU107</f>
        <v>#VALUE!</v>
      </c>
    </row>
    <row r="102" spans="1:47" s="21" customFormat="1" ht="12.75">
      <c r="A102" s="4" t="s">
        <v>34</v>
      </c>
      <c r="B102" s="2" t="e">
        <f>NA()</f>
        <v>#N/A</v>
      </c>
      <c r="C102" s="2" t="e">
        <f>NA()</f>
        <v>#N/A</v>
      </c>
      <c r="D102" s="2" t="e">
        <f>NA()</f>
        <v>#N/A</v>
      </c>
      <c r="E102" s="2" t="e">
        <f>NA()</f>
        <v>#N/A</v>
      </c>
      <c r="F102" s="2" t="e">
        <f>NA()</f>
        <v>#N/A</v>
      </c>
      <c r="G102" s="2" t="e">
        <f>NA()</f>
        <v>#N/A</v>
      </c>
      <c r="H102" s="2" t="e">
        <f>NA()</f>
        <v>#N/A</v>
      </c>
      <c r="I102" s="2" t="e">
        <f>NA()</f>
        <v>#N/A</v>
      </c>
      <c r="J102" s="2" t="e">
        <f>NA()</f>
        <v>#N/A</v>
      </c>
      <c r="K102" s="2" t="e">
        <f>NA()</f>
        <v>#N/A</v>
      </c>
      <c r="L102" s="2" t="e">
        <f>NA()</f>
        <v>#N/A</v>
      </c>
      <c r="M102" s="2" t="e">
        <f>NA()</f>
        <v>#N/A</v>
      </c>
      <c r="N102" s="2" t="e">
        <f>NA()</f>
        <v>#N/A</v>
      </c>
      <c r="O102" s="2" t="e">
        <f>NA()</f>
        <v>#N/A</v>
      </c>
      <c r="P102" s="2" t="e">
        <f>NA()</f>
        <v>#N/A</v>
      </c>
      <c r="Q102" s="2" t="e">
        <f>NA()</f>
        <v>#N/A</v>
      </c>
      <c r="R102" s="2" t="e">
        <f>NA()</f>
        <v>#N/A</v>
      </c>
      <c r="S102" s="2" t="e">
        <f>NA()</f>
        <v>#N/A</v>
      </c>
      <c r="T102" s="2" t="e">
        <f>NA()</f>
        <v>#N/A</v>
      </c>
      <c r="U102" s="2" t="e">
        <f>NA()</f>
        <v>#N/A</v>
      </c>
      <c r="V102" s="2" t="e">
        <f>NA()</f>
        <v>#N/A</v>
      </c>
      <c r="W102" s="2" t="e">
        <f>NA()</f>
        <v>#N/A</v>
      </c>
      <c r="X102" s="2" t="e">
        <f>NA()</f>
        <v>#N/A</v>
      </c>
      <c r="Y102" s="2" t="e">
        <f>NA()</f>
        <v>#N/A</v>
      </c>
      <c r="Z102" s="2" t="e">
        <f>NA()</f>
        <v>#N/A</v>
      </c>
      <c r="AA102" s="2" t="e">
        <f>NA()</f>
        <v>#N/A</v>
      </c>
      <c r="AB102" s="2" t="e">
        <f>NA()</f>
        <v>#N/A</v>
      </c>
      <c r="AC102" s="2" t="e">
        <f>NA()</f>
        <v>#N/A</v>
      </c>
      <c r="AD102" s="2" t="e">
        <f>NA()</f>
        <v>#N/A</v>
      </c>
      <c r="AE102" s="2" t="e">
        <f>NA()</f>
        <v>#N/A</v>
      </c>
      <c r="AF102" s="2" t="e">
        <f>NA()</f>
        <v>#N/A</v>
      </c>
      <c r="AG102" s="2" t="e">
        <f>NA()</f>
        <v>#N/A</v>
      </c>
      <c r="AH102" s="2" t="e">
        <f>NA()</f>
        <v>#N/A</v>
      </c>
      <c r="AI102" s="2" t="e">
        <f>NA()</f>
        <v>#N/A</v>
      </c>
      <c r="AJ102" s="2" t="e">
        <f>NA()</f>
        <v>#N/A</v>
      </c>
      <c r="AK102" s="2" t="e">
        <f>NA()</f>
        <v>#N/A</v>
      </c>
      <c r="AL102" s="2" t="e">
        <f>NA()</f>
        <v>#N/A</v>
      </c>
      <c r="AM102" s="2">
        <v>366</v>
      </c>
      <c r="AN102" s="2">
        <v>323</v>
      </c>
      <c r="AO102" s="2">
        <v>298</v>
      </c>
      <c r="AP102" s="2">
        <v>310</v>
      </c>
      <c r="AQ102" s="2">
        <v>450</v>
      </c>
      <c r="AR102" s="2">
        <v>731</v>
      </c>
      <c r="AS102" s="2">
        <v>1316</v>
      </c>
      <c r="AT102" s="2">
        <v>1869</v>
      </c>
      <c r="AU102" s="2" t="s">
        <v>4</v>
      </c>
    </row>
    <row r="103" spans="1:46" s="2" customFormat="1" ht="12.75">
      <c r="A103" s="4" t="s">
        <v>35</v>
      </c>
      <c r="B103" s="2" t="e">
        <f>NA()</f>
        <v>#N/A</v>
      </c>
      <c r="C103" s="2" t="e">
        <f>NA()</f>
        <v>#N/A</v>
      </c>
      <c r="D103" s="2" t="e">
        <f>NA()</f>
        <v>#N/A</v>
      </c>
      <c r="E103" s="2" t="e">
        <f>NA()</f>
        <v>#N/A</v>
      </c>
      <c r="F103" s="2" t="e">
        <f>NA()</f>
        <v>#N/A</v>
      </c>
      <c r="G103" s="2" t="e">
        <f>NA()</f>
        <v>#N/A</v>
      </c>
      <c r="H103" s="2" t="e">
        <f>NA()</f>
        <v>#N/A</v>
      </c>
      <c r="I103" s="2" t="e">
        <f>NA()</f>
        <v>#N/A</v>
      </c>
      <c r="J103" s="2" t="e">
        <f>NA()</f>
        <v>#N/A</v>
      </c>
      <c r="K103" s="2">
        <v>15</v>
      </c>
      <c r="L103" s="2">
        <v>12</v>
      </c>
      <c r="M103" s="2">
        <v>10</v>
      </c>
      <c r="N103" s="2">
        <v>19</v>
      </c>
      <c r="O103" s="2">
        <v>22</v>
      </c>
      <c r="P103" s="2">
        <v>85</v>
      </c>
      <c r="Q103" s="2">
        <v>131</v>
      </c>
      <c r="R103" s="2">
        <v>177</v>
      </c>
      <c r="S103" s="2">
        <v>228</v>
      </c>
      <c r="T103" s="2">
        <v>248</v>
      </c>
      <c r="U103" s="2">
        <v>335</v>
      </c>
      <c r="V103" s="2">
        <v>51</v>
      </c>
      <c r="W103" s="2">
        <v>36</v>
      </c>
      <c r="X103" s="2">
        <v>30</v>
      </c>
      <c r="Y103" s="2">
        <v>55</v>
      </c>
      <c r="Z103" s="2">
        <v>76</v>
      </c>
      <c r="AA103" s="2">
        <v>56</v>
      </c>
      <c r="AB103" s="2">
        <v>43</v>
      </c>
      <c r="AC103" s="2">
        <v>32</v>
      </c>
      <c r="AD103" s="2">
        <v>52</v>
      </c>
      <c r="AE103" s="2">
        <v>55</v>
      </c>
      <c r="AF103" s="2">
        <v>68</v>
      </c>
      <c r="AG103" s="2">
        <v>36</v>
      </c>
      <c r="AH103" s="2">
        <v>61</v>
      </c>
      <c r="AI103" s="2">
        <v>40</v>
      </c>
      <c r="AJ103" s="2">
        <v>19</v>
      </c>
      <c r="AK103" s="2">
        <v>91</v>
      </c>
      <c r="AL103" s="2">
        <v>138</v>
      </c>
      <c r="AM103" s="2">
        <v>123</v>
      </c>
      <c r="AN103" s="2">
        <v>174</v>
      </c>
      <c r="AO103" s="2">
        <v>166</v>
      </c>
      <c r="AP103" s="2">
        <v>183</v>
      </c>
      <c r="AQ103" s="2">
        <v>210</v>
      </c>
      <c r="AR103" s="2">
        <v>231</v>
      </c>
      <c r="AS103" s="2">
        <v>250</v>
      </c>
      <c r="AT103" s="2">
        <v>244</v>
      </c>
    </row>
    <row r="104" spans="1:46" s="2" customFormat="1" ht="12.75">
      <c r="A104" s="4" t="s">
        <v>36</v>
      </c>
      <c r="B104" s="2" t="e">
        <f>NA()</f>
        <v>#N/A</v>
      </c>
      <c r="C104" s="2" t="e">
        <f>NA()</f>
        <v>#N/A</v>
      </c>
      <c r="D104" s="2" t="e">
        <f>NA()</f>
        <v>#N/A</v>
      </c>
      <c r="E104" s="2" t="e">
        <f>NA()</f>
        <v>#N/A</v>
      </c>
      <c r="F104" s="2" t="e">
        <f>NA()</f>
        <v>#N/A</v>
      </c>
      <c r="G104" s="2" t="e">
        <f>NA()</f>
        <v>#N/A</v>
      </c>
      <c r="H104" s="2" t="e">
        <f>NA()</f>
        <v>#N/A</v>
      </c>
      <c r="I104" s="2" t="e">
        <f>NA()</f>
        <v>#N/A</v>
      </c>
      <c r="J104" s="2" t="e">
        <f>NA()</f>
        <v>#N/A</v>
      </c>
      <c r="K104" s="2">
        <v>42</v>
      </c>
      <c r="L104" s="2">
        <v>40</v>
      </c>
      <c r="M104" s="2">
        <v>45</v>
      </c>
      <c r="N104" s="2">
        <v>89</v>
      </c>
      <c r="O104" s="2">
        <v>94</v>
      </c>
      <c r="P104" s="2">
        <v>147</v>
      </c>
      <c r="Q104" s="2">
        <v>253</v>
      </c>
      <c r="R104" s="2">
        <v>350</v>
      </c>
      <c r="S104" s="2">
        <v>467</v>
      </c>
      <c r="T104" s="2">
        <v>581</v>
      </c>
      <c r="U104" s="2">
        <v>365</v>
      </c>
      <c r="V104" s="2">
        <v>32</v>
      </c>
      <c r="W104" s="2">
        <v>29</v>
      </c>
      <c r="X104" s="2">
        <v>18</v>
      </c>
      <c r="Y104" s="2">
        <v>10</v>
      </c>
      <c r="Z104" s="2">
        <v>12</v>
      </c>
      <c r="AA104" s="2">
        <v>19</v>
      </c>
      <c r="AB104" s="2">
        <v>28</v>
      </c>
      <c r="AC104" s="2">
        <v>19</v>
      </c>
      <c r="AD104" s="2">
        <v>11</v>
      </c>
      <c r="AE104" s="2">
        <v>11</v>
      </c>
      <c r="AF104" s="2">
        <v>15</v>
      </c>
      <c r="AG104" s="2">
        <v>28</v>
      </c>
      <c r="AH104" s="2">
        <v>57</v>
      </c>
      <c r="AI104" s="2">
        <v>31</v>
      </c>
      <c r="AJ104" s="2">
        <v>71</v>
      </c>
      <c r="AK104" s="2">
        <v>11</v>
      </c>
      <c r="AL104" s="2">
        <v>67</v>
      </c>
      <c r="AM104" s="2">
        <v>19</v>
      </c>
      <c r="AN104" s="2">
        <v>16</v>
      </c>
      <c r="AO104" s="2">
        <v>490</v>
      </c>
      <c r="AP104" s="2">
        <v>403</v>
      </c>
      <c r="AQ104" s="2">
        <v>467</v>
      </c>
      <c r="AR104" s="2">
        <v>891</v>
      </c>
      <c r="AS104" s="2">
        <v>1357</v>
      </c>
      <c r="AT104" s="2">
        <v>1777</v>
      </c>
    </row>
    <row r="105" spans="1:46" s="2" customFormat="1" ht="12.75">
      <c r="A105" s="4" t="s">
        <v>37</v>
      </c>
      <c r="B105" s="2" t="e">
        <f>NA()</f>
        <v>#N/A</v>
      </c>
      <c r="C105" s="2" t="e">
        <f>NA()</f>
        <v>#N/A</v>
      </c>
      <c r="D105" s="2" t="e">
        <f>NA()</f>
        <v>#N/A</v>
      </c>
      <c r="E105" s="2" t="e">
        <f>NA()</f>
        <v>#N/A</v>
      </c>
      <c r="F105" s="2" t="e">
        <f>NA()</f>
        <v>#N/A</v>
      </c>
      <c r="G105" s="2" t="e">
        <f>NA()</f>
        <v>#N/A</v>
      </c>
      <c r="H105" s="2" t="e">
        <f>NA()</f>
        <v>#N/A</v>
      </c>
      <c r="I105" s="2" t="e">
        <f>NA()</f>
        <v>#N/A</v>
      </c>
      <c r="J105" s="2" t="e">
        <f>NA()</f>
        <v>#N/A</v>
      </c>
      <c r="K105" s="2">
        <v>8</v>
      </c>
      <c r="L105" s="2">
        <v>12</v>
      </c>
      <c r="M105" s="2">
        <v>9</v>
      </c>
      <c r="N105" s="2">
        <v>11</v>
      </c>
      <c r="O105" s="2">
        <v>32</v>
      </c>
      <c r="P105" s="2">
        <v>63</v>
      </c>
      <c r="Q105" s="2">
        <v>507</v>
      </c>
      <c r="R105" s="2">
        <v>766</v>
      </c>
      <c r="S105" s="2">
        <v>611</v>
      </c>
      <c r="T105" s="2">
        <v>769</v>
      </c>
      <c r="U105" s="2">
        <v>1100</v>
      </c>
      <c r="V105" s="2">
        <v>1249</v>
      </c>
      <c r="W105" s="2">
        <v>1004</v>
      </c>
      <c r="X105" s="2">
        <v>895</v>
      </c>
      <c r="Y105" s="2">
        <v>612</v>
      </c>
      <c r="Z105" s="2">
        <v>795</v>
      </c>
      <c r="AA105" s="2">
        <v>594</v>
      </c>
      <c r="AB105" s="2">
        <v>393</v>
      </c>
      <c r="AC105" s="2">
        <v>365</v>
      </c>
      <c r="AD105" s="2">
        <v>206</v>
      </c>
      <c r="AE105" s="2">
        <v>223</v>
      </c>
      <c r="AF105" s="2">
        <v>352</v>
      </c>
      <c r="AG105" s="2">
        <v>456</v>
      </c>
      <c r="AH105" s="2">
        <v>213</v>
      </c>
      <c r="AI105" s="2">
        <v>287</v>
      </c>
      <c r="AJ105" s="2">
        <v>151</v>
      </c>
      <c r="AK105" s="2">
        <v>142</v>
      </c>
      <c r="AL105" s="2">
        <v>316</v>
      </c>
      <c r="AM105" s="2">
        <v>488</v>
      </c>
      <c r="AN105" s="2">
        <v>466</v>
      </c>
      <c r="AO105" s="2">
        <v>230</v>
      </c>
      <c r="AP105" s="2">
        <v>181</v>
      </c>
      <c r="AQ105" s="2">
        <v>215</v>
      </c>
      <c r="AR105" s="2">
        <v>655</v>
      </c>
      <c r="AS105" s="2">
        <v>653</v>
      </c>
      <c r="AT105" s="2">
        <v>633</v>
      </c>
    </row>
    <row r="106" spans="1:46" s="2" customFormat="1" ht="12.75">
      <c r="A106" s="4" t="s">
        <v>38</v>
      </c>
      <c r="B106" s="2" t="e">
        <f>NA()</f>
        <v>#N/A</v>
      </c>
      <c r="C106" s="2" t="e">
        <f>NA()</f>
        <v>#N/A</v>
      </c>
      <c r="D106" s="2" t="e">
        <f>NA()</f>
        <v>#N/A</v>
      </c>
      <c r="E106" s="2" t="e">
        <f>NA()</f>
        <v>#N/A</v>
      </c>
      <c r="F106" s="2" t="e">
        <f>NA()</f>
        <v>#N/A</v>
      </c>
      <c r="G106" s="2" t="e">
        <f>NA()</f>
        <v>#N/A</v>
      </c>
      <c r="H106" s="2" t="e">
        <f>NA()</f>
        <v>#N/A</v>
      </c>
      <c r="I106" s="2" t="e">
        <f>NA()</f>
        <v>#N/A</v>
      </c>
      <c r="J106" s="2" t="e">
        <f>NA()</f>
        <v>#N/A</v>
      </c>
      <c r="K106" s="2">
        <v>44</v>
      </c>
      <c r="L106" s="2">
        <v>45</v>
      </c>
      <c r="M106" s="2">
        <v>34</v>
      </c>
      <c r="N106" s="2">
        <v>59</v>
      </c>
      <c r="O106" s="2">
        <v>88</v>
      </c>
      <c r="P106" s="2">
        <v>351</v>
      </c>
      <c r="Q106" s="2">
        <v>601</v>
      </c>
      <c r="R106" s="2">
        <v>721</v>
      </c>
      <c r="S106" s="2">
        <v>1268</v>
      </c>
      <c r="T106" s="2">
        <v>1894</v>
      </c>
      <c r="U106" s="2">
        <v>324</v>
      </c>
      <c r="V106" s="2">
        <v>929</v>
      </c>
      <c r="W106" s="2">
        <v>56</v>
      </c>
      <c r="X106" s="2">
        <v>100</v>
      </c>
      <c r="Y106" s="2">
        <v>180</v>
      </c>
      <c r="Z106" s="2">
        <v>174</v>
      </c>
      <c r="AA106" s="2">
        <v>107</v>
      </c>
      <c r="AB106" s="2">
        <v>66</v>
      </c>
      <c r="AC106" s="2">
        <v>45</v>
      </c>
      <c r="AD106" s="2">
        <v>63</v>
      </c>
      <c r="AE106" s="2">
        <v>78</v>
      </c>
      <c r="AF106" s="2">
        <v>143</v>
      </c>
      <c r="AG106" s="2">
        <v>125</v>
      </c>
      <c r="AH106" s="2">
        <v>218</v>
      </c>
      <c r="AI106" s="2">
        <v>110</v>
      </c>
      <c r="AJ106" s="2">
        <v>67</v>
      </c>
      <c r="AK106" s="2">
        <v>43</v>
      </c>
      <c r="AL106" s="2">
        <v>35</v>
      </c>
      <c r="AM106" s="2">
        <v>51</v>
      </c>
      <c r="AN106" s="2">
        <v>80</v>
      </c>
      <c r="AO106" s="2">
        <v>436</v>
      </c>
      <c r="AP106" s="2">
        <v>239</v>
      </c>
      <c r="AQ106" s="2">
        <v>368</v>
      </c>
      <c r="AR106" s="2">
        <v>576</v>
      </c>
      <c r="AS106" s="2">
        <v>632</v>
      </c>
      <c r="AT106" s="2">
        <v>1072</v>
      </c>
    </row>
    <row r="107" spans="1:46" s="2" customFormat="1" ht="12.75">
      <c r="A107" s="4" t="s">
        <v>39</v>
      </c>
      <c r="B107" s="2" t="e">
        <f>NA()</f>
        <v>#N/A</v>
      </c>
      <c r="C107" s="2" t="e">
        <f>NA()</f>
        <v>#N/A</v>
      </c>
      <c r="D107" s="2" t="e">
        <f>NA()</f>
        <v>#N/A</v>
      </c>
      <c r="E107" s="2" t="e">
        <f>NA()</f>
        <v>#N/A</v>
      </c>
      <c r="F107" s="2" t="e">
        <f>NA()</f>
        <v>#N/A</v>
      </c>
      <c r="G107" s="2" t="e">
        <f>NA()</f>
        <v>#N/A</v>
      </c>
      <c r="H107" s="2" t="e">
        <f>NA()</f>
        <v>#N/A</v>
      </c>
      <c r="I107" s="2" t="e">
        <f>NA()</f>
        <v>#N/A</v>
      </c>
      <c r="J107" s="2" t="e">
        <f>NA()</f>
        <v>#N/A</v>
      </c>
      <c r="K107" s="2">
        <v>76</v>
      </c>
      <c r="L107" s="2">
        <v>95</v>
      </c>
      <c r="M107" s="2">
        <v>85</v>
      </c>
      <c r="N107" s="2">
        <v>100</v>
      </c>
      <c r="O107" s="2">
        <v>129</v>
      </c>
      <c r="P107" s="2">
        <v>98</v>
      </c>
      <c r="Q107" s="2">
        <v>220</v>
      </c>
      <c r="R107" s="2">
        <v>450</v>
      </c>
      <c r="S107" s="2">
        <v>703</v>
      </c>
      <c r="T107" s="2">
        <v>991</v>
      </c>
      <c r="U107" s="2">
        <v>2095</v>
      </c>
      <c r="V107" s="2">
        <v>578</v>
      </c>
      <c r="W107" s="2">
        <v>346</v>
      </c>
      <c r="X107" s="2">
        <v>411</v>
      </c>
      <c r="Y107" s="2">
        <v>270</v>
      </c>
      <c r="Z107" s="2">
        <v>278</v>
      </c>
      <c r="AA107" s="2">
        <v>293</v>
      </c>
      <c r="AB107" s="2">
        <v>233</v>
      </c>
      <c r="AC107" s="2">
        <v>146</v>
      </c>
      <c r="AD107" s="2">
        <v>105</v>
      </c>
      <c r="AE107" s="2">
        <v>100</v>
      </c>
      <c r="AF107" s="2">
        <v>220</v>
      </c>
      <c r="AG107" s="2">
        <v>247</v>
      </c>
      <c r="AH107" s="2">
        <v>332</v>
      </c>
      <c r="AI107" s="2">
        <v>378</v>
      </c>
      <c r="AJ107" s="2">
        <v>927</v>
      </c>
      <c r="AK107" s="2">
        <v>293</v>
      </c>
      <c r="AL107" s="2">
        <v>353</v>
      </c>
      <c r="AM107" s="2">
        <v>301</v>
      </c>
      <c r="AN107" s="2">
        <v>599</v>
      </c>
      <c r="AO107" s="2">
        <v>403</v>
      </c>
      <c r="AP107" s="2">
        <v>80</v>
      </c>
      <c r="AQ107" s="2">
        <v>302</v>
      </c>
      <c r="AR107" s="2">
        <v>404</v>
      </c>
      <c r="AS107" s="2">
        <v>8528</v>
      </c>
      <c r="AT107" s="2">
        <v>10575</v>
      </c>
    </row>
    <row r="108" spans="1:44" s="2" customFormat="1" ht="12.75">
      <c r="A108" s="4"/>
      <c r="B108" s="2">
        <f>B9/B3*1000</f>
        <v>54.12541254125412</v>
      </c>
      <c r="C108" s="2">
        <f aca="true" t="shared" si="97" ref="C108:AR108">C9/C3*1000</f>
        <v>52.805280528052805</v>
      </c>
      <c r="D108" s="2">
        <f t="shared" si="97"/>
        <v>50.165016501650165</v>
      </c>
      <c r="E108" s="2">
        <f t="shared" si="97"/>
        <v>47.524752475247524</v>
      </c>
      <c r="F108" s="2">
        <f t="shared" si="97"/>
        <v>44.884488448844884</v>
      </c>
      <c r="G108" s="2">
        <f t="shared" si="97"/>
        <v>46.2046204620462</v>
      </c>
      <c r="H108" s="2">
        <f t="shared" si="97"/>
        <v>71.2871287128713</v>
      </c>
      <c r="I108" s="2">
        <f t="shared" si="97"/>
        <v>72.60726072607261</v>
      </c>
      <c r="J108" s="2">
        <f>J9/J3*1000</f>
        <v>89.76897689768977</v>
      </c>
      <c r="K108" s="2">
        <f t="shared" si="97"/>
        <v>126.73267326732673</v>
      </c>
      <c r="L108" s="2">
        <f t="shared" si="97"/>
        <v>151.81518151815183</v>
      </c>
      <c r="M108" s="2">
        <f t="shared" si="97"/>
        <v>128.05280528052805</v>
      </c>
      <c r="N108" s="2">
        <f t="shared" si="97"/>
        <v>171.6171617161716</v>
      </c>
      <c r="O108" s="2">
        <f t="shared" si="97"/>
        <v>423.9133590778432</v>
      </c>
      <c r="P108" s="2">
        <f t="shared" si="97"/>
        <v>512.0150614814378</v>
      </c>
      <c r="Q108" s="2">
        <f t="shared" si="97"/>
        <v>1327.543638867092</v>
      </c>
      <c r="R108" s="2">
        <f t="shared" si="97"/>
        <v>1936.1357334624358</v>
      </c>
      <c r="S108" s="2">
        <f t="shared" si="97"/>
        <v>2579.15306180333</v>
      </c>
      <c r="T108" s="2">
        <f t="shared" si="97"/>
        <v>3651.6391765722624</v>
      </c>
      <c r="U108" s="2">
        <f t="shared" si="97"/>
        <v>3515.22284498049</v>
      </c>
      <c r="V108" s="2">
        <f t="shared" si="97"/>
        <v>2746.128698119901</v>
      </c>
      <c r="W108" s="2">
        <f t="shared" si="97"/>
        <v>1671.246958518249</v>
      </c>
      <c r="X108" s="2">
        <f t="shared" si="97"/>
        <v>1404.8042538799743</v>
      </c>
      <c r="Y108" s="2">
        <f t="shared" si="97"/>
        <v>1061.2988813575391</v>
      </c>
      <c r="Z108" s="2">
        <f t="shared" si="97"/>
        <v>1246.2683914175298</v>
      </c>
      <c r="AA108" s="2">
        <f t="shared" si="97"/>
        <v>992.6666157871784</v>
      </c>
      <c r="AB108" s="2">
        <f t="shared" si="97"/>
        <v>691.8144030164337</v>
      </c>
      <c r="AC108" s="2">
        <f t="shared" si="97"/>
        <v>555.7854037024501</v>
      </c>
      <c r="AD108" s="2">
        <f t="shared" si="97"/>
        <v>374.57416759393993</v>
      </c>
      <c r="AE108" s="2">
        <f t="shared" si="97"/>
        <v>906.2551279828972</v>
      </c>
      <c r="AF108" s="2">
        <f t="shared" si="97"/>
        <v>1784.144698463846</v>
      </c>
      <c r="AG108" s="2">
        <f t="shared" si="97"/>
        <v>2732.220977307699</v>
      </c>
      <c r="AH108" s="2">
        <f t="shared" si="97"/>
        <v>7256.755600784626</v>
      </c>
      <c r="AI108" s="2">
        <f t="shared" si="97"/>
        <v>8787.816422474782</v>
      </c>
      <c r="AJ108" s="2">
        <f t="shared" si="97"/>
        <v>1144.997913494135</v>
      </c>
      <c r="AK108" s="2">
        <f t="shared" si="97"/>
        <v>655.4082332761578</v>
      </c>
      <c r="AL108" s="2">
        <f t="shared" si="97"/>
        <v>1004.7620600858369</v>
      </c>
      <c r="AM108" s="2" t="e">
        <f t="shared" si="97"/>
        <v>#DIV/0!</v>
      </c>
      <c r="AN108" s="2" t="e">
        <f t="shared" si="97"/>
        <v>#DIV/0!</v>
      </c>
      <c r="AO108" s="2" t="e">
        <f t="shared" si="97"/>
        <v>#DIV/0!</v>
      </c>
      <c r="AP108" s="2" t="e">
        <f t="shared" si="97"/>
        <v>#DIV/0!</v>
      </c>
      <c r="AQ108" s="2" t="e">
        <f t="shared" si="97"/>
        <v>#DIV/0!</v>
      </c>
      <c r="AR108" s="2" t="e">
        <f t="shared" si="97"/>
        <v>#DIV/0!</v>
      </c>
    </row>
    <row r="109" spans="1:47" s="2" customFormat="1" ht="12.75">
      <c r="A109" s="4" t="s">
        <v>40</v>
      </c>
      <c r="B109" s="166">
        <f aca="true" t="shared" si="98" ref="B109:I109">B101*B25/(B9+B25)</f>
        <v>11.673469387755103</v>
      </c>
      <c r="C109" s="166">
        <f t="shared" si="98"/>
        <v>13.717647058823529</v>
      </c>
      <c r="D109" s="166">
        <f t="shared" si="98"/>
        <v>12.270833333333334</v>
      </c>
      <c r="E109" s="166">
        <f t="shared" si="98"/>
        <v>10.978260869565219</v>
      </c>
      <c r="F109" s="166">
        <f t="shared" si="98"/>
        <v>11.613636363636362</v>
      </c>
      <c r="G109" s="166">
        <f t="shared" si="98"/>
        <v>17.94509803921569</v>
      </c>
      <c r="H109" s="166">
        <f t="shared" si="98"/>
        <v>22.52105263157895</v>
      </c>
      <c r="I109" s="166">
        <f t="shared" si="98"/>
        <v>29.269767441860463</v>
      </c>
      <c r="J109" s="166">
        <f>J101*J25/(J9+J25)</f>
        <v>39.4039603960396</v>
      </c>
      <c r="K109" s="2">
        <f>K101-K110</f>
        <v>57</v>
      </c>
      <c r="L109" s="2">
        <f aca="true" t="shared" si="99" ref="L109:AA109">L101-L110</f>
        <v>52</v>
      </c>
      <c r="M109" s="2">
        <f t="shared" si="99"/>
        <v>55</v>
      </c>
      <c r="N109" s="2">
        <f t="shared" si="99"/>
        <v>108</v>
      </c>
      <c r="O109" s="2">
        <f t="shared" si="99"/>
        <v>116</v>
      </c>
      <c r="P109" s="2">
        <f t="shared" si="99"/>
        <v>232</v>
      </c>
      <c r="Q109" s="2">
        <f t="shared" si="99"/>
        <v>384</v>
      </c>
      <c r="R109" s="2">
        <f t="shared" si="99"/>
        <v>527</v>
      </c>
      <c r="S109" s="2">
        <f t="shared" si="99"/>
        <v>695</v>
      </c>
      <c r="T109" s="2">
        <f t="shared" si="99"/>
        <v>829</v>
      </c>
      <c r="U109" s="2">
        <f t="shared" si="99"/>
        <v>700</v>
      </c>
      <c r="V109" s="2">
        <f t="shared" si="99"/>
        <v>83</v>
      </c>
      <c r="W109" s="2">
        <f t="shared" si="99"/>
        <v>65</v>
      </c>
      <c r="X109" s="2">
        <f t="shared" si="99"/>
        <v>48</v>
      </c>
      <c r="Y109" s="2">
        <f t="shared" si="99"/>
        <v>65</v>
      </c>
      <c r="Z109" s="2">
        <f t="shared" si="99"/>
        <v>88</v>
      </c>
      <c r="AA109" s="2">
        <f t="shared" si="99"/>
        <v>75</v>
      </c>
      <c r="AB109" s="2">
        <f aca="true" t="shared" si="100" ref="AB109:AQ109">AB101-AB110</f>
        <v>71</v>
      </c>
      <c r="AC109" s="2">
        <f t="shared" si="100"/>
        <v>51</v>
      </c>
      <c r="AD109" s="2">
        <f t="shared" si="100"/>
        <v>63</v>
      </c>
      <c r="AE109" s="2">
        <f t="shared" si="100"/>
        <v>66</v>
      </c>
      <c r="AF109" s="2">
        <f t="shared" si="100"/>
        <v>83</v>
      </c>
      <c r="AG109" s="2">
        <f t="shared" si="100"/>
        <v>64</v>
      </c>
      <c r="AH109" s="2">
        <f t="shared" si="100"/>
        <v>118</v>
      </c>
      <c r="AI109" s="2">
        <f t="shared" si="100"/>
        <v>71</v>
      </c>
      <c r="AJ109" s="2">
        <f t="shared" si="100"/>
        <v>90</v>
      </c>
      <c r="AK109" s="2">
        <f t="shared" si="100"/>
        <v>102</v>
      </c>
      <c r="AL109" s="2">
        <f t="shared" si="100"/>
        <v>205</v>
      </c>
      <c r="AM109" s="2">
        <f t="shared" si="100"/>
        <v>508</v>
      </c>
      <c r="AN109" s="2">
        <f t="shared" si="100"/>
        <v>513</v>
      </c>
      <c r="AO109" s="2">
        <f t="shared" si="100"/>
        <v>954</v>
      </c>
      <c r="AP109" s="2">
        <f t="shared" si="100"/>
        <v>896</v>
      </c>
      <c r="AQ109" s="2">
        <f t="shared" si="100"/>
        <v>1127</v>
      </c>
      <c r="AR109" s="2">
        <f>AR101-AR110</f>
        <v>1853</v>
      </c>
      <c r="AS109" s="2">
        <f>AS101-AS110</f>
        <v>2923</v>
      </c>
      <c r="AT109" s="2">
        <f>AT101-AT110</f>
        <v>3890</v>
      </c>
      <c r="AU109" s="2" t="e">
        <f>AU101-AU110</f>
        <v>#VALUE!</v>
      </c>
    </row>
    <row r="110" spans="1:47" s="2" customFormat="1" ht="12.75">
      <c r="A110" s="4" t="s">
        <v>41</v>
      </c>
      <c r="B110" s="166">
        <f aca="true" t="shared" si="101" ref="B110:I110">B101*B9/(B9+B25)</f>
        <v>59.8265306122449</v>
      </c>
      <c r="C110" s="166">
        <f t="shared" si="101"/>
        <v>49.88235294117647</v>
      </c>
      <c r="D110" s="166">
        <f t="shared" si="101"/>
        <v>46.62916666666667</v>
      </c>
      <c r="E110" s="166">
        <f t="shared" si="101"/>
        <v>39.52173913043479</v>
      </c>
      <c r="F110" s="166">
        <f t="shared" si="101"/>
        <v>39.48636363636363</v>
      </c>
      <c r="G110" s="166">
        <f t="shared" si="101"/>
        <v>39.254901960784316</v>
      </c>
      <c r="H110" s="166">
        <f t="shared" si="101"/>
        <v>55.27894736842106</v>
      </c>
      <c r="I110" s="166">
        <f t="shared" si="101"/>
        <v>51.93023255813953</v>
      </c>
      <c r="J110" s="166">
        <f>J101*J9/(J9+J25)</f>
        <v>81.19603960396039</v>
      </c>
      <c r="K110" s="2">
        <f>K105+K106+K107</f>
        <v>128</v>
      </c>
      <c r="L110" s="2">
        <f aca="true" t="shared" si="102" ref="L110:AA110">L105+L106+L107</f>
        <v>152</v>
      </c>
      <c r="M110" s="2">
        <f t="shared" si="102"/>
        <v>128</v>
      </c>
      <c r="N110" s="2">
        <f t="shared" si="102"/>
        <v>170</v>
      </c>
      <c r="O110" s="2">
        <f t="shared" si="102"/>
        <v>249</v>
      </c>
      <c r="P110" s="2">
        <f t="shared" si="102"/>
        <v>512</v>
      </c>
      <c r="Q110" s="2">
        <f t="shared" si="102"/>
        <v>1328</v>
      </c>
      <c r="R110" s="2">
        <f t="shared" si="102"/>
        <v>1937</v>
      </c>
      <c r="S110" s="2">
        <f t="shared" si="102"/>
        <v>2582</v>
      </c>
      <c r="T110" s="2">
        <f t="shared" si="102"/>
        <v>3654</v>
      </c>
      <c r="U110" s="2">
        <f t="shared" si="102"/>
        <v>3519</v>
      </c>
      <c r="V110" s="2">
        <f t="shared" si="102"/>
        <v>2756</v>
      </c>
      <c r="W110" s="2">
        <f t="shared" si="102"/>
        <v>1406</v>
      </c>
      <c r="X110" s="2">
        <f t="shared" si="102"/>
        <v>1406</v>
      </c>
      <c r="Y110" s="2">
        <f t="shared" si="102"/>
        <v>1062</v>
      </c>
      <c r="Z110" s="2">
        <f t="shared" si="102"/>
        <v>1247</v>
      </c>
      <c r="AA110" s="2">
        <f t="shared" si="102"/>
        <v>994</v>
      </c>
      <c r="AB110" s="2">
        <f aca="true" t="shared" si="103" ref="AB110:AQ110">AB105+AB106+AB107</f>
        <v>692</v>
      </c>
      <c r="AC110" s="2">
        <f t="shared" si="103"/>
        <v>556</v>
      </c>
      <c r="AD110" s="2">
        <f t="shared" si="103"/>
        <v>374</v>
      </c>
      <c r="AE110" s="2">
        <f t="shared" si="103"/>
        <v>401</v>
      </c>
      <c r="AF110" s="2">
        <f t="shared" si="103"/>
        <v>715</v>
      </c>
      <c r="AG110" s="2">
        <f t="shared" si="103"/>
        <v>828</v>
      </c>
      <c r="AH110" s="2">
        <f t="shared" si="103"/>
        <v>763</v>
      </c>
      <c r="AI110" s="2">
        <f t="shared" si="103"/>
        <v>775</v>
      </c>
      <c r="AJ110" s="2">
        <f t="shared" si="103"/>
        <v>1145</v>
      </c>
      <c r="AK110" s="2">
        <f t="shared" si="103"/>
        <v>478</v>
      </c>
      <c r="AL110" s="2">
        <f t="shared" si="103"/>
        <v>704</v>
      </c>
      <c r="AM110" s="2">
        <f t="shared" si="103"/>
        <v>840</v>
      </c>
      <c r="AN110" s="2">
        <f t="shared" si="103"/>
        <v>1145</v>
      </c>
      <c r="AO110" s="2">
        <f t="shared" si="103"/>
        <v>1069</v>
      </c>
      <c r="AP110" s="2">
        <f t="shared" si="103"/>
        <v>500</v>
      </c>
      <c r="AQ110" s="2">
        <f t="shared" si="103"/>
        <v>885</v>
      </c>
      <c r="AR110" s="2">
        <f>AR105+AR106+AR107</f>
        <v>1635</v>
      </c>
      <c r="AS110" s="2">
        <f>AS105+AS106+AS107</f>
        <v>9813</v>
      </c>
      <c r="AT110" s="2">
        <f>AT105+AT106+AT107</f>
        <v>12280</v>
      </c>
      <c r="AU110" s="2">
        <f>AU105+AU106+AU107</f>
        <v>0</v>
      </c>
    </row>
    <row r="111" spans="1:47" s="2" customFormat="1" ht="12.75">
      <c r="A111" s="4"/>
      <c r="B111" s="75">
        <f>B113-B112</f>
        <v>55.12000000000003</v>
      </c>
      <c r="C111" s="75">
        <f aca="true" t="shared" si="104" ref="C111:R111">C113-C112</f>
        <v>54.06709999999998</v>
      </c>
      <c r="D111" s="75">
        <f t="shared" si="104"/>
        <v>52.00360000000005</v>
      </c>
      <c r="E111" s="75">
        <f t="shared" si="104"/>
        <v>45.68720000000003</v>
      </c>
      <c r="F111" s="75">
        <f t="shared" si="104"/>
        <v>46.16560000000004</v>
      </c>
      <c r="G111" s="75">
        <f t="shared" si="104"/>
        <v>66.22899999999998</v>
      </c>
      <c r="H111" s="75">
        <f t="shared" si="104"/>
        <v>81.53479999999999</v>
      </c>
      <c r="I111" s="75">
        <f t="shared" si="104"/>
        <v>99.10160000000008</v>
      </c>
      <c r="J111" s="75">
        <f t="shared" si="104"/>
        <v>131.563</v>
      </c>
      <c r="K111" s="75">
        <f t="shared" si="104"/>
        <v>165.76000000000022</v>
      </c>
      <c r="L111" s="75">
        <f t="shared" si="104"/>
        <v>188.55099999999993</v>
      </c>
      <c r="M111" s="75">
        <f t="shared" si="104"/>
        <v>206.6840000000002</v>
      </c>
      <c r="N111" s="75">
        <f t="shared" si="104"/>
        <v>274.83500000000004</v>
      </c>
      <c r="O111" s="75">
        <f t="shared" si="104"/>
        <v>353.3680000000004</v>
      </c>
      <c r="P111" s="75">
        <f t="shared" si="104"/>
        <v>525.6800000000005</v>
      </c>
      <c r="Q111" s="75">
        <f t="shared" si="104"/>
        <v>1178.973</v>
      </c>
      <c r="R111" s="75">
        <f t="shared" si="104"/>
        <v>2087.231999999998</v>
      </c>
      <c r="S111" s="75">
        <f aca="true" t="shared" si="105" ref="S111:AH111">S113-S112</f>
        <v>2270.094</v>
      </c>
      <c r="T111" s="75">
        <f t="shared" si="105"/>
        <v>2406.6139999999996</v>
      </c>
      <c r="U111" s="75">
        <f t="shared" si="105"/>
        <v>1844.9760000000006</v>
      </c>
      <c r="V111" s="75">
        <f t="shared" si="105"/>
        <v>1282.5599999999986</v>
      </c>
      <c r="W111" s="75">
        <f t="shared" si="105"/>
        <v>1666.684000000001</v>
      </c>
      <c r="X111" s="75">
        <f t="shared" si="105"/>
        <v>1939.375</v>
      </c>
      <c r="Y111" s="75">
        <f t="shared" si="105"/>
        <v>1850.505</v>
      </c>
      <c r="Z111" s="75">
        <f t="shared" si="105"/>
        <v>2719.5959999999977</v>
      </c>
      <c r="AA111" s="75">
        <f t="shared" si="105"/>
        <v>1855.2319999999982</v>
      </c>
      <c r="AB111" s="75">
        <f t="shared" si="105"/>
        <v>1440.705</v>
      </c>
      <c r="AC111" s="75">
        <f t="shared" si="105"/>
        <v>1230.0080000000012</v>
      </c>
      <c r="AD111" s="75">
        <f t="shared" si="105"/>
        <v>1336.8359999999998</v>
      </c>
      <c r="AE111" s="75">
        <f t="shared" si="105"/>
        <v>104.9920000000011</v>
      </c>
      <c r="AF111" s="75">
        <f t="shared" si="105"/>
        <v>192.57600000000093</v>
      </c>
      <c r="AG111" s="75">
        <f t="shared" si="105"/>
        <v>101.16599999999926</v>
      </c>
      <c r="AH111" s="75">
        <f t="shared" si="105"/>
        <v>167.40800000000309</v>
      </c>
      <c r="AI111" s="75">
        <f aca="true" t="shared" si="106" ref="AI111:AQ111">AI113-AI112</f>
        <v>129.29999999999927</v>
      </c>
      <c r="AJ111" s="75">
        <f t="shared" si="106"/>
        <v>131.26200000000244</v>
      </c>
      <c r="AK111" s="75">
        <f t="shared" si="106"/>
        <v>303.0440000000017</v>
      </c>
      <c r="AL111" s="75">
        <f t="shared" si="106"/>
        <v>363.4920000000011</v>
      </c>
      <c r="AM111" s="75">
        <f t="shared" si="106"/>
        <v>-18325</v>
      </c>
      <c r="AN111" s="75">
        <f t="shared" si="106"/>
        <v>-17223</v>
      </c>
      <c r="AO111" s="75">
        <f t="shared" si="106"/>
        <v>-17708</v>
      </c>
      <c r="AP111" s="75">
        <f t="shared" si="106"/>
        <v>-15913</v>
      </c>
      <c r="AQ111" s="75">
        <f t="shared" si="106"/>
        <v>-17780</v>
      </c>
      <c r="AR111" s="75">
        <f>AR113-AR112</f>
        <v>-21207</v>
      </c>
      <c r="AS111" s="75">
        <f>AS113-AS112</f>
        <v>-22904</v>
      </c>
      <c r="AT111" s="75">
        <f>AT113-AT112</f>
        <v>-30443</v>
      </c>
      <c r="AU111" s="75">
        <f>AU113-AU112</f>
        <v>0</v>
      </c>
    </row>
    <row r="112" spans="1:47" s="21" customFormat="1" ht="12.75">
      <c r="A112" s="23" t="s">
        <v>42</v>
      </c>
      <c r="B112" s="21">
        <f>-B342</f>
        <v>91.1</v>
      </c>
      <c r="C112" s="21">
        <f aca="true" t="shared" si="107" ref="C112:J112">-C342</f>
        <v>92.6</v>
      </c>
      <c r="D112" s="21">
        <f t="shared" si="107"/>
        <v>75.3</v>
      </c>
      <c r="E112" s="21">
        <f t="shared" si="107"/>
        <v>88.39999999999999</v>
      </c>
      <c r="F112" s="21">
        <f t="shared" si="107"/>
        <v>104.19999999999999</v>
      </c>
      <c r="G112" s="21">
        <f t="shared" si="107"/>
        <v>116.19999999999999</v>
      </c>
      <c r="H112" s="21">
        <f t="shared" si="107"/>
        <v>140.7</v>
      </c>
      <c r="I112" s="21">
        <f t="shared" si="107"/>
        <v>136.3</v>
      </c>
      <c r="J112" s="21">
        <f t="shared" si="107"/>
        <v>180.8</v>
      </c>
      <c r="K112" s="21">
        <f aca="true" t="shared" si="108" ref="K112:Z112">K114+K116+K117+K118+K119+K120</f>
        <v>1004</v>
      </c>
      <c r="L112" s="21">
        <f t="shared" si="108"/>
        <v>1184</v>
      </c>
      <c r="M112" s="21">
        <f t="shared" si="108"/>
        <v>1408</v>
      </c>
      <c r="N112" s="21">
        <f t="shared" si="108"/>
        <v>1817</v>
      </c>
      <c r="O112" s="21">
        <f t="shared" si="108"/>
        <v>2135</v>
      </c>
      <c r="P112" s="21">
        <f t="shared" si="108"/>
        <v>1352</v>
      </c>
      <c r="Q112" s="21">
        <f t="shared" si="108"/>
        <v>2182</v>
      </c>
      <c r="R112" s="21">
        <f t="shared" si="108"/>
        <v>3350</v>
      </c>
      <c r="S112" s="21">
        <f t="shared" si="108"/>
        <v>4400</v>
      </c>
      <c r="T112" s="21">
        <f t="shared" si="108"/>
        <v>6901</v>
      </c>
      <c r="U112" s="21">
        <f t="shared" si="108"/>
        <v>7888</v>
      </c>
      <c r="V112" s="21">
        <f t="shared" si="108"/>
        <v>4990</v>
      </c>
      <c r="W112" s="21">
        <f t="shared" si="108"/>
        <v>3068</v>
      </c>
      <c r="X112" s="21">
        <f t="shared" si="108"/>
        <v>1713</v>
      </c>
      <c r="Y112" s="21">
        <f t="shared" si="108"/>
        <v>1496</v>
      </c>
      <c r="Z112" s="21">
        <f t="shared" si="108"/>
        <v>1881</v>
      </c>
      <c r="AA112" s="21">
        <f aca="true" t="shared" si="109" ref="AA112:AL112">AA114+AA116+AA117+AA118+AA119+AA120</f>
        <v>1738</v>
      </c>
      <c r="AB112" s="21">
        <f t="shared" si="109"/>
        <v>1693</v>
      </c>
      <c r="AC112" s="21">
        <f t="shared" si="109"/>
        <v>1106</v>
      </c>
      <c r="AD112" s="21">
        <f t="shared" si="109"/>
        <v>1207</v>
      </c>
      <c r="AE112" s="21">
        <f t="shared" si="109"/>
        <v>2437</v>
      </c>
      <c r="AF112" s="21">
        <f t="shared" si="109"/>
        <v>3122</v>
      </c>
      <c r="AG112" s="21">
        <f t="shared" si="109"/>
        <v>4040</v>
      </c>
      <c r="AH112" s="21">
        <f t="shared" si="109"/>
        <v>5800</v>
      </c>
      <c r="AI112" s="21">
        <f t="shared" si="109"/>
        <v>5940</v>
      </c>
      <c r="AJ112" s="21">
        <f t="shared" si="109"/>
        <v>5743</v>
      </c>
      <c r="AK112" s="21">
        <f t="shared" si="109"/>
        <v>3639</v>
      </c>
      <c r="AL112" s="21">
        <f t="shared" si="109"/>
        <v>3133</v>
      </c>
      <c r="AM112" s="21">
        <f aca="true" t="shared" si="110" ref="AM112:AS112">AM114+AM116+AM117+AM118+AM119+AM120</f>
        <v>3981</v>
      </c>
      <c r="AN112" s="21">
        <f t="shared" si="110"/>
        <v>4096</v>
      </c>
      <c r="AO112" s="21">
        <f t="shared" si="110"/>
        <v>3492</v>
      </c>
      <c r="AP112" s="21">
        <f t="shared" si="110"/>
        <v>2929</v>
      </c>
      <c r="AQ112" s="21">
        <f t="shared" si="110"/>
        <v>3497</v>
      </c>
      <c r="AR112" s="21">
        <f t="shared" si="110"/>
        <v>3983</v>
      </c>
      <c r="AS112" s="21">
        <f t="shared" si="110"/>
        <v>8528</v>
      </c>
      <c r="AT112" s="21">
        <f>AT114+AT116+AT117+AT118+AT119+AT120</f>
        <v>10575</v>
      </c>
      <c r="AU112" s="21">
        <f>AU114+AU116+AU117+AU118+AU119+AU120</f>
        <v>0</v>
      </c>
    </row>
    <row r="113" spans="1:47" s="21" customFormat="1" ht="12.75">
      <c r="A113" s="111" t="s">
        <v>43</v>
      </c>
      <c r="B113" s="112">
        <f>B112+B115</f>
        <v>146.22000000000003</v>
      </c>
      <c r="C113" s="112">
        <f aca="true" t="shared" si="111" ref="C113:R113">C112+C115</f>
        <v>146.66709999999998</v>
      </c>
      <c r="D113" s="112">
        <f t="shared" si="111"/>
        <v>127.30360000000005</v>
      </c>
      <c r="E113" s="112">
        <f t="shared" si="111"/>
        <v>134.08720000000002</v>
      </c>
      <c r="F113" s="112">
        <f t="shared" si="111"/>
        <v>150.36560000000003</v>
      </c>
      <c r="G113" s="112">
        <f t="shared" si="111"/>
        <v>182.42899999999997</v>
      </c>
      <c r="H113" s="112">
        <f t="shared" si="111"/>
        <v>222.23479999999998</v>
      </c>
      <c r="I113" s="112">
        <f t="shared" si="111"/>
        <v>235.4016000000001</v>
      </c>
      <c r="J113" s="112">
        <f t="shared" si="111"/>
        <v>312.363</v>
      </c>
      <c r="K113" s="112">
        <f t="shared" si="111"/>
        <v>1169.7600000000002</v>
      </c>
      <c r="L113" s="112">
        <f t="shared" si="111"/>
        <v>1372.551</v>
      </c>
      <c r="M113" s="112">
        <f t="shared" si="111"/>
        <v>1614.6840000000002</v>
      </c>
      <c r="N113" s="112">
        <f t="shared" si="111"/>
        <v>2091.835</v>
      </c>
      <c r="O113" s="112">
        <f t="shared" si="111"/>
        <v>2488.3680000000004</v>
      </c>
      <c r="P113" s="112">
        <f t="shared" si="111"/>
        <v>1877.6800000000005</v>
      </c>
      <c r="Q113" s="112">
        <f t="shared" si="111"/>
        <v>3360.973</v>
      </c>
      <c r="R113" s="112">
        <f t="shared" si="111"/>
        <v>5437.231999999998</v>
      </c>
      <c r="S113" s="112">
        <f aca="true" t="shared" si="112" ref="S113:AD113">S112+S115</f>
        <v>6670.094</v>
      </c>
      <c r="T113" s="112">
        <f t="shared" si="112"/>
        <v>9307.614</v>
      </c>
      <c r="U113" s="112">
        <f t="shared" si="112"/>
        <v>9732.976</v>
      </c>
      <c r="V113" s="112">
        <f t="shared" si="112"/>
        <v>6272.559999999999</v>
      </c>
      <c r="W113" s="112">
        <f t="shared" si="112"/>
        <v>4734.684000000001</v>
      </c>
      <c r="X113" s="112">
        <f t="shared" si="112"/>
        <v>3652.375</v>
      </c>
      <c r="Y113" s="112">
        <f t="shared" si="112"/>
        <v>3346.505</v>
      </c>
      <c r="Z113" s="112">
        <f t="shared" si="112"/>
        <v>4600.595999999998</v>
      </c>
      <c r="AA113" s="112">
        <f t="shared" si="112"/>
        <v>3593.231999999998</v>
      </c>
      <c r="AB113" s="112">
        <f t="shared" si="112"/>
        <v>3133.705</v>
      </c>
      <c r="AC113" s="112">
        <f t="shared" si="112"/>
        <v>2336.008000000001</v>
      </c>
      <c r="AD113" s="112">
        <f t="shared" si="112"/>
        <v>2543.836</v>
      </c>
      <c r="AE113" s="112">
        <f>AE112+AE115-AE114</f>
        <v>2541.992000000001</v>
      </c>
      <c r="AF113" s="112">
        <f aca="true" t="shared" si="113" ref="AF113:AQ113">AF112+AF115-AF114</f>
        <v>3314.576000000001</v>
      </c>
      <c r="AG113" s="112">
        <f t="shared" si="113"/>
        <v>4141.165999999999</v>
      </c>
      <c r="AH113" s="112">
        <f t="shared" si="113"/>
        <v>5967.408000000003</v>
      </c>
      <c r="AI113" s="112">
        <f t="shared" si="113"/>
        <v>6069.299999999999</v>
      </c>
      <c r="AJ113" s="112">
        <f t="shared" si="113"/>
        <v>5874.262000000002</v>
      </c>
      <c r="AK113" s="112">
        <f t="shared" si="113"/>
        <v>3942.0440000000017</v>
      </c>
      <c r="AL113" s="112">
        <f t="shared" si="113"/>
        <v>3496.492000000001</v>
      </c>
      <c r="AM113" s="112">
        <f t="shared" si="113"/>
        <v>-14344</v>
      </c>
      <c r="AN113" s="112">
        <f t="shared" si="113"/>
        <v>-13127</v>
      </c>
      <c r="AO113" s="112">
        <f t="shared" si="113"/>
        <v>-14216</v>
      </c>
      <c r="AP113" s="112">
        <f t="shared" si="113"/>
        <v>-12984</v>
      </c>
      <c r="AQ113" s="112">
        <f t="shared" si="113"/>
        <v>-14283</v>
      </c>
      <c r="AR113" s="112">
        <f>AR112+AR115-AR114</f>
        <v>-17224</v>
      </c>
      <c r="AS113" s="112">
        <f>AS112+AS115-AS114</f>
        <v>-14376</v>
      </c>
      <c r="AT113" s="112">
        <f>AT112+AT115-AT114</f>
        <v>-19868</v>
      </c>
      <c r="AU113" s="112">
        <f>AU112+AU115-AU114</f>
        <v>0</v>
      </c>
    </row>
    <row r="114" spans="1:46" s="2" customFormat="1" ht="12.75">
      <c r="A114" s="4" t="s">
        <v>44</v>
      </c>
      <c r="B114" s="2" t="e">
        <f>NA()</f>
        <v>#N/A</v>
      </c>
      <c r="C114" s="2" t="e">
        <f>NA()</f>
        <v>#N/A</v>
      </c>
      <c r="D114" s="2" t="e">
        <f>NA()</f>
        <v>#N/A</v>
      </c>
      <c r="E114" s="2" t="e">
        <f>NA()</f>
        <v>#N/A</v>
      </c>
      <c r="F114" s="2" t="e">
        <f>NA()</f>
        <v>#N/A</v>
      </c>
      <c r="G114" s="2" t="e">
        <f>NA()</f>
        <v>#N/A</v>
      </c>
      <c r="H114" s="2" t="e">
        <f>NA()</f>
        <v>#N/A</v>
      </c>
      <c r="I114" s="2" t="e">
        <f>NA()</f>
        <v>#N/A</v>
      </c>
      <c r="J114" s="2" t="e">
        <f>NA()</f>
        <v>#N/A</v>
      </c>
      <c r="K114" s="2">
        <v>-1</v>
      </c>
      <c r="L114" s="2">
        <v>-1</v>
      </c>
      <c r="M114" s="2">
        <v>-1</v>
      </c>
      <c r="N114" s="2">
        <v>-1</v>
      </c>
      <c r="O114" s="2">
        <v>-1</v>
      </c>
      <c r="P114" s="2">
        <v>-1</v>
      </c>
      <c r="Q114" s="2">
        <v>-2</v>
      </c>
      <c r="R114" s="2">
        <v>-2</v>
      </c>
      <c r="S114" s="2">
        <v>-2</v>
      </c>
      <c r="T114" s="2">
        <v>-3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1088</v>
      </c>
      <c r="AF114" s="2">
        <v>1346</v>
      </c>
      <c r="AG114" s="2">
        <v>1992</v>
      </c>
      <c r="AH114" s="2">
        <v>2737</v>
      </c>
      <c r="AI114" s="2">
        <v>2586</v>
      </c>
      <c r="AJ114" s="2">
        <v>2140</v>
      </c>
      <c r="AK114" s="2">
        <v>1157</v>
      </c>
      <c r="AL114" s="2">
        <v>1108</v>
      </c>
      <c r="AM114" s="2">
        <v>1668</v>
      </c>
      <c r="AN114" s="2">
        <v>1550</v>
      </c>
      <c r="AO114" s="2">
        <v>1711</v>
      </c>
      <c r="AP114" s="2">
        <v>1240</v>
      </c>
      <c r="AQ114" s="2">
        <v>1347</v>
      </c>
      <c r="AR114" s="2">
        <v>1539</v>
      </c>
      <c r="AS114" s="2">
        <v>434</v>
      </c>
      <c r="AT114" s="2">
        <v>824</v>
      </c>
    </row>
    <row r="115" spans="1:47" s="2" customFormat="1" ht="12.75">
      <c r="A115" s="4" t="s">
        <v>45</v>
      </c>
      <c r="B115" s="2">
        <f>B97*(B155-1)</f>
        <v>55.12000000000005</v>
      </c>
      <c r="C115" s="2">
        <f aca="true" t="shared" si="114" ref="C115:J115">C97*(C155-1)</f>
        <v>54.06709999999999</v>
      </c>
      <c r="D115" s="2">
        <f t="shared" si="114"/>
        <v>52.00360000000005</v>
      </c>
      <c r="E115" s="2">
        <f t="shared" si="114"/>
        <v>45.68720000000004</v>
      </c>
      <c r="F115" s="2">
        <f t="shared" si="114"/>
        <v>46.16560000000004</v>
      </c>
      <c r="G115" s="2">
        <f t="shared" si="114"/>
        <v>66.22899999999998</v>
      </c>
      <c r="H115" s="2">
        <f t="shared" si="114"/>
        <v>81.53479999999999</v>
      </c>
      <c r="I115" s="2">
        <f t="shared" si="114"/>
        <v>99.10160000000009</v>
      </c>
      <c r="J115" s="2">
        <f t="shared" si="114"/>
        <v>131.563</v>
      </c>
      <c r="K115" s="2">
        <f>K97*(K155-1)+K114</f>
        <v>165.76000000000016</v>
      </c>
      <c r="L115" s="2">
        <f aca="true" t="shared" si="115" ref="L115:AA115">L97*(L155-1)+L114</f>
        <v>188.551</v>
      </c>
      <c r="M115" s="2">
        <f t="shared" si="115"/>
        <v>206.6840000000002</v>
      </c>
      <c r="N115" s="2">
        <f t="shared" si="115"/>
        <v>274.835</v>
      </c>
      <c r="O115" s="2">
        <f t="shared" si="115"/>
        <v>353.36800000000034</v>
      </c>
      <c r="P115" s="2">
        <f t="shared" si="115"/>
        <v>525.6800000000005</v>
      </c>
      <c r="Q115" s="2">
        <f t="shared" si="115"/>
        <v>1178.973</v>
      </c>
      <c r="R115" s="2">
        <f t="shared" si="115"/>
        <v>2087.2319999999986</v>
      </c>
      <c r="S115" s="2">
        <f t="shared" si="115"/>
        <v>2270.094</v>
      </c>
      <c r="T115" s="2">
        <f t="shared" si="115"/>
        <v>2406.614</v>
      </c>
      <c r="U115" s="2">
        <f t="shared" si="115"/>
        <v>1844.976</v>
      </c>
      <c r="V115" s="2">
        <f t="shared" si="115"/>
        <v>1282.5599999999988</v>
      </c>
      <c r="W115" s="2">
        <f t="shared" si="115"/>
        <v>1666.6840000000016</v>
      </c>
      <c r="X115" s="2">
        <f t="shared" si="115"/>
        <v>1939.375</v>
      </c>
      <c r="Y115" s="2">
        <f t="shared" si="115"/>
        <v>1850.505</v>
      </c>
      <c r="Z115" s="2">
        <f t="shared" si="115"/>
        <v>2719.5959999999977</v>
      </c>
      <c r="AA115" s="2">
        <f t="shared" si="115"/>
        <v>1855.2319999999984</v>
      </c>
      <c r="AB115" s="2">
        <f>AB97*(AB155-1)+AB114</f>
        <v>1440.7049999999997</v>
      </c>
      <c r="AC115" s="2">
        <f>AC97*(AC155-1)+AC114</f>
        <v>1230.0080000000012</v>
      </c>
      <c r="AD115" s="2">
        <f>AD97*(AD155-1)+AD114</f>
        <v>1336.8359999999998</v>
      </c>
      <c r="AE115" s="2">
        <f>(AE114+AE97)*(AE155-1)</f>
        <v>1192.992000000001</v>
      </c>
      <c r="AF115" s="2">
        <f aca="true" t="shared" si="116" ref="AF115:AQ115">(AF114+AF97)*(AF155-1)</f>
        <v>1538.5760000000014</v>
      </c>
      <c r="AG115" s="2">
        <f t="shared" si="116"/>
        <v>2093.1659999999997</v>
      </c>
      <c r="AH115" s="2">
        <f t="shared" si="116"/>
        <v>2904.4080000000026</v>
      </c>
      <c r="AI115" s="2">
        <f t="shared" si="116"/>
        <v>2715.2999999999997</v>
      </c>
      <c r="AJ115" s="2">
        <f t="shared" si="116"/>
        <v>2271.262000000002</v>
      </c>
      <c r="AK115" s="2">
        <f t="shared" si="116"/>
        <v>1460.0440000000012</v>
      </c>
      <c r="AL115" s="2">
        <f t="shared" si="116"/>
        <v>1471.4920000000013</v>
      </c>
      <c r="AM115" s="2">
        <f t="shared" si="116"/>
        <v>-16657</v>
      </c>
      <c r="AN115" s="2">
        <f t="shared" si="116"/>
        <v>-15673</v>
      </c>
      <c r="AO115" s="2">
        <f t="shared" si="116"/>
        <v>-15997</v>
      </c>
      <c r="AP115" s="2">
        <f t="shared" si="116"/>
        <v>-14673</v>
      </c>
      <c r="AQ115" s="2">
        <f t="shared" si="116"/>
        <v>-16433</v>
      </c>
      <c r="AR115" s="2">
        <f>(AR114+AR97)*(AR155-1)</f>
        <v>-19668</v>
      </c>
      <c r="AS115" s="2">
        <f>(AS114+AS97)*(AS155-1)</f>
        <v>-22470</v>
      </c>
      <c r="AT115" s="2">
        <f>(AT114+AT97)*(AT155-1)</f>
        <v>-29619</v>
      </c>
      <c r="AU115" s="2">
        <f>(AU114+AU97)*(AU155-1)</f>
        <v>0</v>
      </c>
    </row>
    <row r="116" spans="1:46" s="2" customFormat="1" ht="12.75">
      <c r="A116" s="4" t="s">
        <v>46</v>
      </c>
      <c r="B116" s="2" t="e">
        <f>NA()</f>
        <v>#N/A</v>
      </c>
      <c r="C116" s="2" t="e">
        <f>NA()</f>
        <v>#N/A</v>
      </c>
      <c r="D116" s="2" t="e">
        <f>NA()</f>
        <v>#N/A</v>
      </c>
      <c r="E116" s="2" t="e">
        <f>NA()</f>
        <v>#N/A</v>
      </c>
      <c r="F116" s="2" t="e">
        <f>NA()</f>
        <v>#N/A</v>
      </c>
      <c r="G116" s="2" t="e">
        <f>NA()</f>
        <v>#N/A</v>
      </c>
      <c r="H116" s="2" t="e">
        <f>NA()</f>
        <v>#N/A</v>
      </c>
      <c r="I116" s="2" t="e">
        <f>NA()</f>
        <v>#N/A</v>
      </c>
      <c r="J116" s="2" t="e">
        <f>NA()</f>
        <v>#N/A</v>
      </c>
      <c r="K116" s="2">
        <v>15</v>
      </c>
      <c r="L116" s="2">
        <v>16</v>
      </c>
      <c r="M116" s="2">
        <v>19</v>
      </c>
      <c r="N116" s="2">
        <v>23</v>
      </c>
      <c r="O116" s="2">
        <v>22</v>
      </c>
      <c r="P116" s="2">
        <v>68</v>
      </c>
      <c r="Q116" s="2">
        <v>138</v>
      </c>
      <c r="R116" s="2">
        <v>388</v>
      </c>
      <c r="S116" s="2">
        <v>493</v>
      </c>
      <c r="T116" s="2">
        <v>626</v>
      </c>
      <c r="U116" s="2">
        <v>100</v>
      </c>
      <c r="V116" s="2">
        <v>95</v>
      </c>
      <c r="W116" s="2">
        <v>60</v>
      </c>
      <c r="X116" s="2">
        <v>44</v>
      </c>
      <c r="Y116" s="2">
        <v>38</v>
      </c>
      <c r="Z116" s="2">
        <v>100</v>
      </c>
      <c r="AA116" s="2">
        <v>139</v>
      </c>
      <c r="AB116" s="2">
        <v>115</v>
      </c>
      <c r="AC116" s="2">
        <v>63</v>
      </c>
      <c r="AD116" s="2">
        <v>31</v>
      </c>
      <c r="AE116" s="2">
        <v>103</v>
      </c>
      <c r="AF116" s="2">
        <v>43</v>
      </c>
      <c r="AG116" s="2">
        <v>64</v>
      </c>
      <c r="AH116" s="2">
        <v>127</v>
      </c>
      <c r="AI116" s="2">
        <v>49</v>
      </c>
      <c r="AJ116" s="2">
        <v>9</v>
      </c>
      <c r="AK116" s="2">
        <v>12</v>
      </c>
      <c r="AL116" s="2">
        <v>6</v>
      </c>
      <c r="AM116" s="2">
        <v>16</v>
      </c>
      <c r="AN116" s="2">
        <v>14</v>
      </c>
      <c r="AO116" s="2">
        <v>2</v>
      </c>
      <c r="AP116" s="2">
        <v>8</v>
      </c>
      <c r="AQ116" s="2">
        <v>3</v>
      </c>
      <c r="AR116" s="2">
        <v>6</v>
      </c>
      <c r="AS116" s="2">
        <v>240</v>
      </c>
      <c r="AT116" s="2">
        <v>299</v>
      </c>
    </row>
    <row r="117" spans="1:46" s="2" customFormat="1" ht="12.75">
      <c r="A117" s="4" t="s">
        <v>47</v>
      </c>
      <c r="B117" s="2" t="e">
        <f>NA()</f>
        <v>#N/A</v>
      </c>
      <c r="C117" s="2" t="e">
        <f>NA()</f>
        <v>#N/A</v>
      </c>
      <c r="D117" s="2" t="e">
        <f>NA()</f>
        <v>#N/A</v>
      </c>
      <c r="E117" s="2" t="e">
        <f>NA()</f>
        <v>#N/A</v>
      </c>
      <c r="F117" s="2" t="e">
        <f>NA()</f>
        <v>#N/A</v>
      </c>
      <c r="G117" s="2" t="e">
        <f>NA()</f>
        <v>#N/A</v>
      </c>
      <c r="H117" s="2" t="e">
        <f>NA()</f>
        <v>#N/A</v>
      </c>
      <c r="I117" s="2" t="e">
        <f>NA()</f>
        <v>#N/A</v>
      </c>
      <c r="J117" s="2" t="e">
        <f>NA()</f>
        <v>#N/A</v>
      </c>
      <c r="K117" s="2">
        <v>69</v>
      </c>
      <c r="L117" s="2">
        <v>91</v>
      </c>
      <c r="M117" s="2">
        <v>135</v>
      </c>
      <c r="N117" s="2">
        <v>105</v>
      </c>
      <c r="O117" s="2">
        <v>152</v>
      </c>
      <c r="P117" s="2">
        <v>240</v>
      </c>
      <c r="Q117" s="2">
        <v>550</v>
      </c>
      <c r="R117" s="2">
        <v>802</v>
      </c>
      <c r="S117" s="2">
        <v>1253</v>
      </c>
      <c r="T117" s="2">
        <v>1897</v>
      </c>
      <c r="U117" s="2">
        <v>1649</v>
      </c>
      <c r="V117" s="2">
        <v>2934</v>
      </c>
      <c r="W117" s="2">
        <v>1700</v>
      </c>
      <c r="X117" s="2">
        <v>681</v>
      </c>
      <c r="Y117" s="2">
        <v>400</v>
      </c>
      <c r="Z117" s="2">
        <v>464</v>
      </c>
      <c r="AA117" s="2">
        <v>488</v>
      </c>
      <c r="AB117" s="2">
        <v>508</v>
      </c>
      <c r="AC117" s="2">
        <v>247</v>
      </c>
      <c r="AD117" s="2">
        <v>246</v>
      </c>
      <c r="AE117" s="2">
        <v>69</v>
      </c>
      <c r="AF117" s="2">
        <v>129</v>
      </c>
      <c r="AG117" s="2">
        <v>340</v>
      </c>
      <c r="AH117" s="2">
        <v>734</v>
      </c>
      <c r="AI117" s="2">
        <v>1109</v>
      </c>
      <c r="AJ117" s="2">
        <v>862</v>
      </c>
      <c r="AK117" s="2">
        <v>149</v>
      </c>
      <c r="AL117" s="2">
        <v>241</v>
      </c>
      <c r="AM117" s="2">
        <v>258</v>
      </c>
      <c r="AN117" s="2">
        <v>382</v>
      </c>
      <c r="AO117" s="2">
        <v>153</v>
      </c>
      <c r="AP117" s="2">
        <v>631</v>
      </c>
      <c r="AQ117" s="2">
        <v>668</v>
      </c>
      <c r="AR117" s="2">
        <v>708</v>
      </c>
      <c r="AS117" s="2">
        <v>3750</v>
      </c>
      <c r="AT117" s="2">
        <v>4190</v>
      </c>
    </row>
    <row r="118" spans="1:46" s="2" customFormat="1" ht="12.75">
      <c r="A118" s="4" t="s">
        <v>48</v>
      </c>
      <c r="B118" s="2" t="e">
        <f>NA()</f>
        <v>#N/A</v>
      </c>
      <c r="C118" s="2" t="e">
        <f>NA()</f>
        <v>#N/A</v>
      </c>
      <c r="D118" s="2" t="e">
        <f>NA()</f>
        <v>#N/A</v>
      </c>
      <c r="E118" s="2" t="e">
        <f>NA()</f>
        <v>#N/A</v>
      </c>
      <c r="F118" s="2" t="e">
        <f>NA()</f>
        <v>#N/A</v>
      </c>
      <c r="G118" s="2" t="e">
        <f>NA()</f>
        <v>#N/A</v>
      </c>
      <c r="H118" s="2" t="e">
        <f>NA()</f>
        <v>#N/A</v>
      </c>
      <c r="I118" s="2" t="e">
        <f>NA()</f>
        <v>#N/A</v>
      </c>
      <c r="J118" s="2" t="e">
        <f>NA()</f>
        <v>#N/A</v>
      </c>
      <c r="K118" s="2">
        <v>683</v>
      </c>
      <c r="L118" s="2">
        <v>821</v>
      </c>
      <c r="M118" s="2">
        <v>1007</v>
      </c>
      <c r="N118" s="2">
        <v>1381</v>
      </c>
      <c r="O118" s="2">
        <v>1648</v>
      </c>
      <c r="P118" s="2">
        <v>671</v>
      </c>
      <c r="Q118" s="2">
        <v>767</v>
      </c>
      <c r="R118" s="2">
        <v>672</v>
      </c>
      <c r="S118" s="2">
        <v>667</v>
      </c>
      <c r="T118" s="2">
        <v>680</v>
      </c>
      <c r="U118" s="2">
        <v>780</v>
      </c>
      <c r="V118" s="2">
        <v>798</v>
      </c>
      <c r="W118" s="2">
        <v>398</v>
      </c>
      <c r="X118" s="2">
        <v>275</v>
      </c>
      <c r="Y118" s="2">
        <v>227</v>
      </c>
      <c r="Z118" s="2">
        <v>184</v>
      </c>
      <c r="AA118" s="2">
        <v>143</v>
      </c>
      <c r="AB118" s="2">
        <v>100</v>
      </c>
      <c r="AC118" s="2">
        <v>66</v>
      </c>
      <c r="AD118" s="2">
        <v>66</v>
      </c>
      <c r="AE118" s="2">
        <v>82</v>
      </c>
      <c r="AF118" s="2">
        <v>104</v>
      </c>
      <c r="AG118" s="2">
        <v>78</v>
      </c>
      <c r="AH118" s="2">
        <v>85</v>
      </c>
      <c r="AI118" s="2">
        <v>157</v>
      </c>
      <c r="AJ118" s="2">
        <v>143</v>
      </c>
      <c r="AK118" s="2">
        <v>413</v>
      </c>
      <c r="AL118" s="2">
        <v>794</v>
      </c>
      <c r="AM118" s="2">
        <v>898</v>
      </c>
      <c r="AN118" s="2">
        <v>725</v>
      </c>
      <c r="AO118" s="2">
        <v>731</v>
      </c>
      <c r="AP118" s="2">
        <v>473</v>
      </c>
      <c r="AQ118" s="2">
        <v>370</v>
      </c>
      <c r="AR118" s="2">
        <v>397</v>
      </c>
      <c r="AS118" s="2">
        <v>1082</v>
      </c>
      <c r="AT118" s="2">
        <v>604</v>
      </c>
    </row>
    <row r="119" spans="1:46" s="2" customFormat="1" ht="12.75">
      <c r="A119" s="4" t="s">
        <v>49</v>
      </c>
      <c r="B119" s="2" t="e">
        <f>NA()</f>
        <v>#N/A</v>
      </c>
      <c r="C119" s="2" t="e">
        <f>NA()</f>
        <v>#N/A</v>
      </c>
      <c r="D119" s="2" t="e">
        <f>NA()</f>
        <v>#N/A</v>
      </c>
      <c r="E119" s="2" t="e">
        <f>NA()</f>
        <v>#N/A</v>
      </c>
      <c r="F119" s="2" t="e">
        <f>NA()</f>
        <v>#N/A</v>
      </c>
      <c r="G119" s="2" t="e">
        <f>NA()</f>
        <v>#N/A</v>
      </c>
      <c r="H119" s="2" t="e">
        <f>NA()</f>
        <v>#N/A</v>
      </c>
      <c r="I119" s="2" t="e">
        <f>NA()</f>
        <v>#N/A</v>
      </c>
      <c r="J119" s="2" t="e">
        <f>NA()</f>
        <v>#N/A</v>
      </c>
      <c r="K119" s="2">
        <v>124</v>
      </c>
      <c r="L119" s="2">
        <v>100</v>
      </c>
      <c r="M119" s="2">
        <v>90</v>
      </c>
      <c r="N119" s="2">
        <v>135</v>
      </c>
      <c r="O119" s="2">
        <v>128</v>
      </c>
      <c r="P119" s="2">
        <v>310</v>
      </c>
      <c r="Q119" s="2">
        <v>614</v>
      </c>
      <c r="R119" s="2">
        <v>1251</v>
      </c>
      <c r="S119" s="2">
        <v>1121</v>
      </c>
      <c r="T119" s="2">
        <v>2281</v>
      </c>
      <c r="U119" s="2">
        <v>2264</v>
      </c>
      <c r="V119" s="2">
        <v>724</v>
      </c>
      <c r="W119" s="2">
        <v>823</v>
      </c>
      <c r="X119" s="2">
        <v>635</v>
      </c>
      <c r="Y119" s="2">
        <v>761</v>
      </c>
      <c r="Z119" s="2">
        <v>1060</v>
      </c>
      <c r="AA119" s="2">
        <v>903</v>
      </c>
      <c r="AB119" s="2">
        <v>883</v>
      </c>
      <c r="AC119" s="2">
        <v>643</v>
      </c>
      <c r="AD119" s="2">
        <v>815</v>
      </c>
      <c r="AE119" s="2">
        <v>1043</v>
      </c>
      <c r="AF119" s="2">
        <v>1425</v>
      </c>
      <c r="AG119" s="2">
        <v>1238</v>
      </c>
      <c r="AH119" s="2">
        <v>1567</v>
      </c>
      <c r="AI119" s="2">
        <v>1552</v>
      </c>
      <c r="AJ119" s="2">
        <v>972</v>
      </c>
      <c r="AK119" s="2">
        <v>682</v>
      </c>
      <c r="AL119" s="2">
        <v>725</v>
      </c>
      <c r="AM119" s="2">
        <v>872</v>
      </c>
      <c r="AN119" s="2">
        <v>1297</v>
      </c>
      <c r="AO119" s="2">
        <v>817</v>
      </c>
      <c r="AP119" s="2">
        <v>552</v>
      </c>
      <c r="AQ119" s="2">
        <v>966</v>
      </c>
      <c r="AR119" s="2">
        <v>1135</v>
      </c>
      <c r="AS119" s="2">
        <v>2065</v>
      </c>
      <c r="AT119" s="2">
        <v>3484</v>
      </c>
    </row>
    <row r="120" spans="1:46" s="2" customFormat="1" ht="12.75">
      <c r="A120" s="4" t="s">
        <v>50</v>
      </c>
      <c r="B120" s="2" t="e">
        <f>NA()</f>
        <v>#N/A</v>
      </c>
      <c r="C120" s="2" t="e">
        <f>NA()</f>
        <v>#N/A</v>
      </c>
      <c r="D120" s="2" t="e">
        <f>NA()</f>
        <v>#N/A</v>
      </c>
      <c r="E120" s="2" t="e">
        <f>NA()</f>
        <v>#N/A</v>
      </c>
      <c r="F120" s="2" t="e">
        <f>NA()</f>
        <v>#N/A</v>
      </c>
      <c r="G120" s="2" t="e">
        <f>NA()</f>
        <v>#N/A</v>
      </c>
      <c r="H120" s="2" t="e">
        <f>NA()</f>
        <v>#N/A</v>
      </c>
      <c r="I120" s="2" t="e">
        <f>NA()</f>
        <v>#N/A</v>
      </c>
      <c r="J120" s="2" t="e">
        <f>NA()</f>
        <v>#N/A</v>
      </c>
      <c r="K120" s="2">
        <v>114</v>
      </c>
      <c r="L120" s="2">
        <v>157</v>
      </c>
      <c r="M120" s="2">
        <v>158</v>
      </c>
      <c r="N120" s="2">
        <v>174</v>
      </c>
      <c r="O120" s="2">
        <v>186</v>
      </c>
      <c r="P120" s="2">
        <v>64</v>
      </c>
      <c r="Q120" s="2">
        <v>115</v>
      </c>
      <c r="R120" s="2">
        <v>239</v>
      </c>
      <c r="S120" s="2">
        <v>868</v>
      </c>
      <c r="T120" s="2">
        <v>1420</v>
      </c>
      <c r="U120" s="2">
        <v>3095</v>
      </c>
      <c r="V120" s="2">
        <v>439</v>
      </c>
      <c r="W120" s="2">
        <v>87</v>
      </c>
      <c r="X120" s="2">
        <v>78</v>
      </c>
      <c r="Y120" s="2">
        <v>70</v>
      </c>
      <c r="Z120" s="2">
        <v>73</v>
      </c>
      <c r="AA120" s="2">
        <v>65</v>
      </c>
      <c r="AB120" s="2">
        <v>87</v>
      </c>
      <c r="AC120" s="2">
        <v>87</v>
      </c>
      <c r="AD120" s="2">
        <v>49</v>
      </c>
      <c r="AE120" s="2">
        <v>52</v>
      </c>
      <c r="AF120" s="2">
        <v>75</v>
      </c>
      <c r="AG120" s="2">
        <v>328</v>
      </c>
      <c r="AH120" s="2">
        <v>550</v>
      </c>
      <c r="AI120" s="2">
        <v>487</v>
      </c>
      <c r="AJ120" s="2">
        <v>1617</v>
      </c>
      <c r="AK120" s="2">
        <v>1226</v>
      </c>
      <c r="AL120" s="2">
        <v>259</v>
      </c>
      <c r="AM120" s="2">
        <v>269</v>
      </c>
      <c r="AN120" s="2">
        <v>128</v>
      </c>
      <c r="AO120" s="2">
        <v>78</v>
      </c>
      <c r="AP120" s="2">
        <v>25</v>
      </c>
      <c r="AQ120" s="2">
        <v>143</v>
      </c>
      <c r="AR120" s="2">
        <v>198</v>
      </c>
      <c r="AS120" s="2">
        <v>957</v>
      </c>
      <c r="AT120" s="2">
        <v>1174</v>
      </c>
    </row>
    <row r="121" s="2" customFormat="1" ht="12.75">
      <c r="A121" s="4"/>
    </row>
    <row r="122" spans="1:47" s="2" customFormat="1" ht="12.75">
      <c r="A122" s="4" t="s">
        <v>40</v>
      </c>
      <c r="B122" s="110">
        <f aca="true" t="shared" si="117" ref="B122:I122">B112*B30/(B30+B14)</f>
        <v>23.46515151515151</v>
      </c>
      <c r="C122" s="110">
        <f t="shared" si="117"/>
        <v>18.64429530201342</v>
      </c>
      <c r="D122" s="110">
        <f t="shared" si="117"/>
        <v>13.052</v>
      </c>
      <c r="E122" s="110">
        <f t="shared" si="117"/>
        <v>15.418604651162791</v>
      </c>
      <c r="F122" s="110">
        <f t="shared" si="117"/>
        <v>19.3360824742268</v>
      </c>
      <c r="G122" s="110">
        <f t="shared" si="117"/>
        <v>23.969506726457396</v>
      </c>
      <c r="H122" s="110">
        <f t="shared" si="117"/>
        <v>22.437209302325577</v>
      </c>
      <c r="I122" s="110">
        <f t="shared" si="117"/>
        <v>24.305244755244754</v>
      </c>
      <c r="J122" s="110">
        <f>J112*J30/(J30+J14)</f>
        <v>28.928</v>
      </c>
      <c r="K122" s="2">
        <f>K112-K123</f>
        <v>83</v>
      </c>
      <c r="L122" s="2">
        <f aca="true" t="shared" si="118" ref="L122:AA122">L112-L123</f>
        <v>106</v>
      </c>
      <c r="M122" s="2">
        <f t="shared" si="118"/>
        <v>153</v>
      </c>
      <c r="N122" s="2">
        <f t="shared" si="118"/>
        <v>127</v>
      </c>
      <c r="O122" s="2">
        <f t="shared" si="118"/>
        <v>173</v>
      </c>
      <c r="P122" s="2">
        <f t="shared" si="118"/>
        <v>307</v>
      </c>
      <c r="Q122" s="2">
        <f t="shared" si="118"/>
        <v>686</v>
      </c>
      <c r="R122" s="2">
        <f t="shared" si="118"/>
        <v>1188</v>
      </c>
      <c r="S122" s="2">
        <f t="shared" si="118"/>
        <v>1744</v>
      </c>
      <c r="T122" s="2">
        <f t="shared" si="118"/>
        <v>2520</v>
      </c>
      <c r="U122" s="2">
        <f t="shared" si="118"/>
        <v>1749</v>
      </c>
      <c r="V122" s="2">
        <f t="shared" si="118"/>
        <v>3029</v>
      </c>
      <c r="W122" s="2">
        <f t="shared" si="118"/>
        <v>1760</v>
      </c>
      <c r="X122" s="2">
        <f t="shared" si="118"/>
        <v>725</v>
      </c>
      <c r="Y122" s="2">
        <f t="shared" si="118"/>
        <v>438</v>
      </c>
      <c r="Z122" s="2">
        <f t="shared" si="118"/>
        <v>564</v>
      </c>
      <c r="AA122" s="2">
        <f t="shared" si="118"/>
        <v>627</v>
      </c>
      <c r="AB122" s="2">
        <f aca="true" t="shared" si="119" ref="AB122:AQ122">AB112-AB123</f>
        <v>623</v>
      </c>
      <c r="AC122" s="2">
        <f t="shared" si="119"/>
        <v>310</v>
      </c>
      <c r="AD122" s="2">
        <f t="shared" si="119"/>
        <v>277</v>
      </c>
      <c r="AE122" s="2">
        <f t="shared" si="119"/>
        <v>1260</v>
      </c>
      <c r="AF122" s="2">
        <f t="shared" si="119"/>
        <v>1518</v>
      </c>
      <c r="AG122" s="2">
        <f t="shared" si="119"/>
        <v>2396</v>
      </c>
      <c r="AH122" s="2">
        <f t="shared" si="119"/>
        <v>3598</v>
      </c>
      <c r="AI122" s="2">
        <f t="shared" si="119"/>
        <v>3744</v>
      </c>
      <c r="AJ122" s="2">
        <f t="shared" si="119"/>
        <v>3011</v>
      </c>
      <c r="AK122" s="2">
        <f t="shared" si="119"/>
        <v>1318</v>
      </c>
      <c r="AL122" s="2">
        <f t="shared" si="119"/>
        <v>1355</v>
      </c>
      <c r="AM122" s="2">
        <f t="shared" si="119"/>
        <v>1942</v>
      </c>
      <c r="AN122" s="2">
        <f t="shared" si="119"/>
        <v>1946</v>
      </c>
      <c r="AO122" s="2">
        <f t="shared" si="119"/>
        <v>1866</v>
      </c>
      <c r="AP122" s="2">
        <f t="shared" si="119"/>
        <v>1879</v>
      </c>
      <c r="AQ122" s="2">
        <f t="shared" si="119"/>
        <v>2018</v>
      </c>
      <c r="AR122" s="2">
        <f>AR112-AR123</f>
        <v>2253</v>
      </c>
      <c r="AS122" s="2">
        <f>AS112-AS123</f>
        <v>4424</v>
      </c>
      <c r="AT122" s="2">
        <f>AT112-AT123</f>
        <v>5313</v>
      </c>
      <c r="AU122" s="2">
        <f>AU112-AU123</f>
        <v>0</v>
      </c>
    </row>
    <row r="123" spans="1:47" s="2" customFormat="1" ht="12.75">
      <c r="A123" s="4" t="s">
        <v>41</v>
      </c>
      <c r="B123" s="110">
        <f aca="true" t="shared" si="120" ref="B123:I123">B112*B14/(B30+B14)</f>
        <v>67.63484848484848</v>
      </c>
      <c r="C123" s="110">
        <f t="shared" si="120"/>
        <v>73.95570469798658</v>
      </c>
      <c r="D123" s="110">
        <f t="shared" si="120"/>
        <v>62.248000000000005</v>
      </c>
      <c r="E123" s="110">
        <f t="shared" si="120"/>
        <v>72.9813953488372</v>
      </c>
      <c r="F123" s="110">
        <f t="shared" si="120"/>
        <v>84.86391752577318</v>
      </c>
      <c r="G123" s="110">
        <f t="shared" si="120"/>
        <v>92.2304932735426</v>
      </c>
      <c r="H123" s="110">
        <f t="shared" si="120"/>
        <v>118.26279069767442</v>
      </c>
      <c r="I123" s="110">
        <f t="shared" si="120"/>
        <v>111.99475524475524</v>
      </c>
      <c r="J123" s="110">
        <f>J112*J14/(J30+J14)</f>
        <v>151.872</v>
      </c>
      <c r="K123" s="2">
        <f>K118+K119+K120</f>
        <v>921</v>
      </c>
      <c r="L123" s="2">
        <f aca="true" t="shared" si="121" ref="L123:AA123">L118+L119+L120</f>
        <v>1078</v>
      </c>
      <c r="M123" s="2">
        <f t="shared" si="121"/>
        <v>1255</v>
      </c>
      <c r="N123" s="2">
        <f t="shared" si="121"/>
        <v>1690</v>
      </c>
      <c r="O123" s="2">
        <f t="shared" si="121"/>
        <v>1962</v>
      </c>
      <c r="P123" s="2">
        <f t="shared" si="121"/>
        <v>1045</v>
      </c>
      <c r="Q123" s="2">
        <f t="shared" si="121"/>
        <v>1496</v>
      </c>
      <c r="R123" s="2">
        <f t="shared" si="121"/>
        <v>2162</v>
      </c>
      <c r="S123" s="2">
        <f t="shared" si="121"/>
        <v>2656</v>
      </c>
      <c r="T123" s="2">
        <f t="shared" si="121"/>
        <v>4381</v>
      </c>
      <c r="U123" s="2">
        <f t="shared" si="121"/>
        <v>6139</v>
      </c>
      <c r="V123" s="2">
        <f t="shared" si="121"/>
        <v>1961</v>
      </c>
      <c r="W123" s="2">
        <f t="shared" si="121"/>
        <v>1308</v>
      </c>
      <c r="X123" s="2">
        <f t="shared" si="121"/>
        <v>988</v>
      </c>
      <c r="Y123" s="2">
        <f t="shared" si="121"/>
        <v>1058</v>
      </c>
      <c r="Z123" s="2">
        <f t="shared" si="121"/>
        <v>1317</v>
      </c>
      <c r="AA123" s="2">
        <f t="shared" si="121"/>
        <v>1111</v>
      </c>
      <c r="AB123" s="2">
        <f aca="true" t="shared" si="122" ref="AB123:AQ123">AB118+AB119+AB120</f>
        <v>1070</v>
      </c>
      <c r="AC123" s="2">
        <f t="shared" si="122"/>
        <v>796</v>
      </c>
      <c r="AD123" s="2">
        <f t="shared" si="122"/>
        <v>930</v>
      </c>
      <c r="AE123" s="2">
        <f t="shared" si="122"/>
        <v>1177</v>
      </c>
      <c r="AF123" s="2">
        <f t="shared" si="122"/>
        <v>1604</v>
      </c>
      <c r="AG123" s="2">
        <f t="shared" si="122"/>
        <v>1644</v>
      </c>
      <c r="AH123" s="2">
        <f t="shared" si="122"/>
        <v>2202</v>
      </c>
      <c r="AI123" s="2">
        <f t="shared" si="122"/>
        <v>2196</v>
      </c>
      <c r="AJ123" s="2">
        <f t="shared" si="122"/>
        <v>2732</v>
      </c>
      <c r="AK123" s="2">
        <f t="shared" si="122"/>
        <v>2321</v>
      </c>
      <c r="AL123" s="2">
        <f t="shared" si="122"/>
        <v>1778</v>
      </c>
      <c r="AM123" s="2">
        <f t="shared" si="122"/>
        <v>2039</v>
      </c>
      <c r="AN123" s="2">
        <f t="shared" si="122"/>
        <v>2150</v>
      </c>
      <c r="AO123" s="2">
        <f t="shared" si="122"/>
        <v>1626</v>
      </c>
      <c r="AP123" s="2">
        <f t="shared" si="122"/>
        <v>1050</v>
      </c>
      <c r="AQ123" s="2">
        <f t="shared" si="122"/>
        <v>1479</v>
      </c>
      <c r="AR123" s="2">
        <f>AR118+AR119+AR120</f>
        <v>1730</v>
      </c>
      <c r="AS123" s="2">
        <f>AS118+AS119+AS120</f>
        <v>4104</v>
      </c>
      <c r="AT123" s="2">
        <f>AT118+AT119+AT120</f>
        <v>5262</v>
      </c>
      <c r="AU123" s="2">
        <f>AU118+AU119+AU120</f>
        <v>0</v>
      </c>
    </row>
    <row r="124" s="2" customFormat="1" ht="12.75">
      <c r="A124" s="4"/>
    </row>
    <row r="125" spans="1:47" s="7" customFormat="1" ht="12.75">
      <c r="A125" s="17" t="s">
        <v>51</v>
      </c>
      <c r="B125" s="7">
        <f aca="true" t="shared" si="123" ref="B125:Q125">B126+B127</f>
        <v>14</v>
      </c>
      <c r="C125" s="7">
        <f t="shared" si="123"/>
        <v>0</v>
      </c>
      <c r="D125" s="7">
        <f t="shared" si="123"/>
        <v>0</v>
      </c>
      <c r="E125" s="7">
        <f t="shared" si="123"/>
        <v>-14</v>
      </c>
      <c r="F125" s="7">
        <f t="shared" si="123"/>
        <v>0</v>
      </c>
      <c r="G125" s="7">
        <f t="shared" si="123"/>
        <v>198.4</v>
      </c>
      <c r="H125" s="7">
        <f t="shared" si="123"/>
        <v>41</v>
      </c>
      <c r="I125" s="7">
        <f t="shared" si="123"/>
        <v>8.8</v>
      </c>
      <c r="J125" s="7">
        <f t="shared" si="123"/>
        <v>0</v>
      </c>
      <c r="K125" s="7">
        <f t="shared" si="123"/>
        <v>6</v>
      </c>
      <c r="L125" s="7">
        <f t="shared" si="123"/>
        <v>6</v>
      </c>
      <c r="M125" s="7">
        <f t="shared" si="123"/>
        <v>5</v>
      </c>
      <c r="N125" s="7">
        <f t="shared" si="123"/>
        <v>5</v>
      </c>
      <c r="O125" s="7">
        <f t="shared" si="123"/>
        <v>5</v>
      </c>
      <c r="P125" s="7">
        <f t="shared" si="123"/>
        <v>-2</v>
      </c>
      <c r="Q125" s="7">
        <f t="shared" si="123"/>
        <v>-34</v>
      </c>
      <c r="R125" s="7">
        <f aca="true" t="shared" si="124" ref="R125:AG125">R126+R127</f>
        <v>-18</v>
      </c>
      <c r="S125" s="7">
        <f t="shared" si="124"/>
        <v>-17</v>
      </c>
      <c r="T125" s="7">
        <f t="shared" si="124"/>
        <v>-125</v>
      </c>
      <c r="U125" s="7">
        <f t="shared" si="124"/>
        <v>-15</v>
      </c>
      <c r="V125" s="7">
        <f t="shared" si="124"/>
        <v>-15</v>
      </c>
      <c r="W125" s="7">
        <f t="shared" si="124"/>
        <v>-2</v>
      </c>
      <c r="X125" s="7">
        <f t="shared" si="124"/>
        <v>0</v>
      </c>
      <c r="Y125" s="7">
        <f t="shared" si="124"/>
        <v>0</v>
      </c>
      <c r="Z125" s="7">
        <f t="shared" si="124"/>
        <v>0</v>
      </c>
      <c r="AA125" s="7">
        <f t="shared" si="124"/>
        <v>0</v>
      </c>
      <c r="AB125" s="7">
        <f t="shared" si="124"/>
        <v>0</v>
      </c>
      <c r="AC125" s="7">
        <f t="shared" si="124"/>
        <v>0</v>
      </c>
      <c r="AD125" s="7">
        <f t="shared" si="124"/>
        <v>0</v>
      </c>
      <c r="AE125" s="7">
        <f t="shared" si="124"/>
        <v>0</v>
      </c>
      <c r="AF125" s="7">
        <f t="shared" si="124"/>
        <v>2500</v>
      </c>
      <c r="AG125" s="7">
        <f t="shared" si="124"/>
        <v>2500</v>
      </c>
      <c r="AH125" s="7">
        <f aca="true" t="shared" si="125" ref="AH125:AS125">AH126+AH127</f>
        <v>2000</v>
      </c>
      <c r="AI125" s="7">
        <f t="shared" si="125"/>
        <v>1996</v>
      </c>
      <c r="AJ125" s="7">
        <f t="shared" si="125"/>
        <v>1500</v>
      </c>
      <c r="AK125" s="7">
        <f t="shared" si="125"/>
        <v>1198</v>
      </c>
      <c r="AL125" s="7">
        <f t="shared" si="125"/>
        <v>-4</v>
      </c>
      <c r="AM125" s="7">
        <f t="shared" si="125"/>
        <v>463</v>
      </c>
      <c r="AN125" s="7">
        <f t="shared" si="125"/>
        <v>393</v>
      </c>
      <c r="AO125" s="7">
        <f t="shared" si="125"/>
        <v>497</v>
      </c>
      <c r="AP125" s="7">
        <f t="shared" si="125"/>
        <v>525</v>
      </c>
      <c r="AQ125" s="7">
        <f t="shared" si="125"/>
        <v>610</v>
      </c>
      <c r="AR125" s="7">
        <f t="shared" si="125"/>
        <v>705</v>
      </c>
      <c r="AS125" s="7">
        <f t="shared" si="125"/>
        <v>887</v>
      </c>
      <c r="AT125" s="7">
        <f>AT126+AT127</f>
        <v>1226</v>
      </c>
      <c r="AU125" s="7">
        <f>AU126+AU127</f>
        <v>0</v>
      </c>
    </row>
    <row r="126" spans="1:46" s="21" customFormat="1" ht="12.75">
      <c r="A126" s="23" t="s">
        <v>52</v>
      </c>
      <c r="K126" s="21">
        <v>4</v>
      </c>
      <c r="L126" s="21">
        <v>4</v>
      </c>
      <c r="M126" s="21">
        <v>4</v>
      </c>
      <c r="N126" s="21">
        <v>4</v>
      </c>
      <c r="O126" s="21">
        <v>4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v>0</v>
      </c>
      <c r="Y126" s="21">
        <v>0</v>
      </c>
      <c r="Z126" s="21">
        <v>0</v>
      </c>
      <c r="AA126" s="21">
        <v>0</v>
      </c>
      <c r="AB126" s="21">
        <v>0</v>
      </c>
      <c r="AC126" s="21">
        <v>0</v>
      </c>
      <c r="AD126" s="21">
        <v>0</v>
      </c>
      <c r="AE126" s="21">
        <v>0</v>
      </c>
      <c r="AF126" s="21">
        <v>0</v>
      </c>
      <c r="AG126" s="21">
        <v>0</v>
      </c>
      <c r="AH126" s="21">
        <v>0</v>
      </c>
      <c r="AI126" s="21">
        <v>-4</v>
      </c>
      <c r="AJ126" s="21">
        <v>0</v>
      </c>
      <c r="AK126" s="21">
        <v>-2</v>
      </c>
      <c r="AL126" s="21">
        <v>-4</v>
      </c>
      <c r="AM126" s="21">
        <v>-8</v>
      </c>
      <c r="AN126" s="21">
        <v>-7</v>
      </c>
      <c r="AO126" s="21">
        <v>-3</v>
      </c>
      <c r="AP126" s="21">
        <v>17</v>
      </c>
      <c r="AQ126" s="21">
        <v>74</v>
      </c>
      <c r="AR126" s="21">
        <v>23</v>
      </c>
      <c r="AS126" s="21">
        <v>36</v>
      </c>
      <c r="AT126" s="21">
        <v>48</v>
      </c>
    </row>
    <row r="127" spans="1:46" s="21" customFormat="1" ht="12.75">
      <c r="A127" s="23" t="s">
        <v>53</v>
      </c>
      <c r="B127" s="21">
        <f aca="true" t="shared" si="126" ref="B127:J127">B366</f>
        <v>14</v>
      </c>
      <c r="C127" s="21">
        <f t="shared" si="126"/>
        <v>0</v>
      </c>
      <c r="D127" s="21">
        <f t="shared" si="126"/>
        <v>0</v>
      </c>
      <c r="E127" s="21">
        <f t="shared" si="126"/>
        <v>-14</v>
      </c>
      <c r="F127" s="21">
        <f t="shared" si="126"/>
        <v>0</v>
      </c>
      <c r="G127" s="21">
        <f t="shared" si="126"/>
        <v>198.4</v>
      </c>
      <c r="H127" s="21">
        <f t="shared" si="126"/>
        <v>41</v>
      </c>
      <c r="I127" s="21">
        <f t="shared" si="126"/>
        <v>8.8</v>
      </c>
      <c r="J127" s="21">
        <f t="shared" si="126"/>
        <v>0</v>
      </c>
      <c r="K127" s="21">
        <v>2</v>
      </c>
      <c r="L127" s="21">
        <v>2</v>
      </c>
      <c r="M127" s="21">
        <v>1</v>
      </c>
      <c r="N127" s="21">
        <v>1</v>
      </c>
      <c r="O127" s="21">
        <v>1</v>
      </c>
      <c r="P127" s="21">
        <v>-2</v>
      </c>
      <c r="Q127" s="21">
        <v>-34</v>
      </c>
      <c r="R127" s="21">
        <v>-18</v>
      </c>
      <c r="S127" s="21">
        <v>-17</v>
      </c>
      <c r="T127" s="21">
        <v>-125</v>
      </c>
      <c r="U127" s="21">
        <v>-15</v>
      </c>
      <c r="V127" s="21">
        <v>-15</v>
      </c>
      <c r="W127" s="21">
        <v>-2</v>
      </c>
      <c r="X127" s="21">
        <v>0</v>
      </c>
      <c r="Y127" s="21">
        <v>0</v>
      </c>
      <c r="Z127" s="21">
        <v>0</v>
      </c>
      <c r="AA127" s="21">
        <v>0</v>
      </c>
      <c r="AB127" s="21">
        <v>0</v>
      </c>
      <c r="AC127" s="21">
        <v>0</v>
      </c>
      <c r="AD127" s="21">
        <v>0</v>
      </c>
      <c r="AE127" s="21">
        <v>0</v>
      </c>
      <c r="AF127" s="21">
        <v>2500</v>
      </c>
      <c r="AG127" s="21">
        <v>2500</v>
      </c>
      <c r="AH127" s="21">
        <v>2000</v>
      </c>
      <c r="AI127" s="21">
        <v>2000</v>
      </c>
      <c r="AJ127" s="21">
        <v>1500</v>
      </c>
      <c r="AK127" s="21">
        <v>1200</v>
      </c>
      <c r="AL127" s="21">
        <v>0</v>
      </c>
      <c r="AM127" s="21">
        <v>471</v>
      </c>
      <c r="AN127" s="21">
        <v>400</v>
      </c>
      <c r="AO127" s="21">
        <v>500</v>
      </c>
      <c r="AP127" s="21">
        <v>508</v>
      </c>
      <c r="AQ127" s="21">
        <v>536</v>
      </c>
      <c r="AR127" s="21">
        <v>682</v>
      </c>
      <c r="AS127" s="21">
        <v>851</v>
      </c>
      <c r="AT127" s="21">
        <v>1178</v>
      </c>
    </row>
    <row r="128" s="21" customFormat="1" ht="12.75">
      <c r="A128" s="23"/>
    </row>
    <row r="129" spans="1:47" s="21" customFormat="1" ht="12.75">
      <c r="A129" s="111" t="s">
        <v>54</v>
      </c>
      <c r="B129" s="112">
        <f>B130-B131</f>
        <v>0</v>
      </c>
      <c r="C129" s="112">
        <f aca="true" t="shared" si="127" ref="C129:R129">C130-C131</f>
        <v>0</v>
      </c>
      <c r="D129" s="112">
        <f t="shared" si="127"/>
        <v>0</v>
      </c>
      <c r="E129" s="112">
        <f t="shared" si="127"/>
        <v>0</v>
      </c>
      <c r="F129" s="112">
        <f t="shared" si="127"/>
        <v>0</v>
      </c>
      <c r="G129" s="112">
        <f t="shared" si="127"/>
        <v>0</v>
      </c>
      <c r="H129" s="112">
        <f t="shared" si="127"/>
        <v>0</v>
      </c>
      <c r="I129" s="112">
        <f t="shared" si="127"/>
        <v>0</v>
      </c>
      <c r="J129" s="112">
        <f t="shared" si="127"/>
        <v>0</v>
      </c>
      <c r="K129" s="112">
        <f t="shared" si="127"/>
        <v>0</v>
      </c>
      <c r="L129" s="112">
        <f t="shared" si="127"/>
        <v>0</v>
      </c>
      <c r="M129" s="112">
        <f t="shared" si="127"/>
        <v>0</v>
      </c>
      <c r="N129" s="112">
        <f t="shared" si="127"/>
        <v>0</v>
      </c>
      <c r="O129" s="112">
        <f t="shared" si="127"/>
        <v>0</v>
      </c>
      <c r="P129" s="112">
        <f t="shared" si="127"/>
        <v>0</v>
      </c>
      <c r="Q129" s="112">
        <f t="shared" si="127"/>
        <v>0</v>
      </c>
      <c r="R129" s="112">
        <f t="shared" si="127"/>
        <v>0</v>
      </c>
      <c r="S129" s="112">
        <f aca="true" t="shared" si="128" ref="S129:AH129">S130-S131</f>
        <v>0</v>
      </c>
      <c r="T129" s="112">
        <f t="shared" si="128"/>
        <v>0</v>
      </c>
      <c r="U129" s="112">
        <f t="shared" si="128"/>
        <v>0</v>
      </c>
      <c r="V129" s="112">
        <f t="shared" si="128"/>
        <v>0</v>
      </c>
      <c r="W129" s="112">
        <f t="shared" si="128"/>
        <v>0</v>
      </c>
      <c r="X129" s="112">
        <f t="shared" si="128"/>
        <v>0</v>
      </c>
      <c r="Y129" s="112">
        <f t="shared" si="128"/>
        <v>0</v>
      </c>
      <c r="Z129" s="112">
        <f t="shared" si="128"/>
        <v>0</v>
      </c>
      <c r="AA129" s="112">
        <f t="shared" si="128"/>
        <v>0</v>
      </c>
      <c r="AB129" s="112">
        <f t="shared" si="128"/>
        <v>0</v>
      </c>
      <c r="AC129" s="112">
        <f t="shared" si="128"/>
        <v>0</v>
      </c>
      <c r="AD129" s="112">
        <f t="shared" si="128"/>
        <v>0</v>
      </c>
      <c r="AE129" s="112">
        <f t="shared" si="128"/>
        <v>0</v>
      </c>
      <c r="AF129" s="112">
        <f t="shared" si="128"/>
        <v>0</v>
      </c>
      <c r="AG129" s="112">
        <f t="shared" si="128"/>
        <v>-1.8189894035458565E-12</v>
      </c>
      <c r="AH129" s="112">
        <f t="shared" si="128"/>
        <v>0</v>
      </c>
      <c r="AI129" s="112">
        <f aca="true" t="shared" si="129" ref="AI129:AQ129">AI130-AI131</f>
        <v>0</v>
      </c>
      <c r="AJ129" s="112">
        <f t="shared" si="129"/>
        <v>0</v>
      </c>
      <c r="AK129" s="112">
        <f t="shared" si="129"/>
        <v>0</v>
      </c>
      <c r="AL129" s="112">
        <f t="shared" si="129"/>
        <v>0</v>
      </c>
      <c r="AM129" s="112">
        <f t="shared" si="129"/>
        <v>0</v>
      </c>
      <c r="AN129" s="112">
        <f t="shared" si="129"/>
        <v>0</v>
      </c>
      <c r="AO129" s="112">
        <f t="shared" si="129"/>
        <v>0</v>
      </c>
      <c r="AP129" s="112">
        <f t="shared" si="129"/>
        <v>0</v>
      </c>
      <c r="AQ129" s="112">
        <f t="shared" si="129"/>
        <v>0</v>
      </c>
      <c r="AR129" s="112">
        <f>AR130-AR131</f>
        <v>0</v>
      </c>
      <c r="AS129" s="112">
        <f>AS130-AS131</f>
        <v>0</v>
      </c>
      <c r="AT129" s="112">
        <f>AT130-AT131</f>
        <v>0</v>
      </c>
      <c r="AU129" s="112" t="e">
        <f>AU130-AU131</f>
        <v>#VALUE!</v>
      </c>
    </row>
    <row r="130" spans="1:47" s="2" customFormat="1" ht="12.75">
      <c r="A130" s="111" t="s">
        <v>54</v>
      </c>
      <c r="B130" s="75">
        <f aca="true" t="shared" si="130" ref="B130:Q130">B92+B99+B125</f>
        <v>-95.5</v>
      </c>
      <c r="C130" s="75">
        <f t="shared" si="130"/>
        <v>-69.79999999999995</v>
      </c>
      <c r="D130" s="75">
        <f t="shared" si="130"/>
        <v>-27.19999999999999</v>
      </c>
      <c r="E130" s="75">
        <f t="shared" si="130"/>
        <v>28.099999999999937</v>
      </c>
      <c r="F130" s="75">
        <f t="shared" si="130"/>
        <v>70.70000000000007</v>
      </c>
      <c r="G130" s="75">
        <f t="shared" si="130"/>
        <v>140.60000000000002</v>
      </c>
      <c r="H130" s="75">
        <f t="shared" si="130"/>
        <v>-73.99999999999997</v>
      </c>
      <c r="I130" s="75">
        <f t="shared" si="130"/>
        <v>-139.60000000000008</v>
      </c>
      <c r="J130" s="75">
        <f t="shared" si="130"/>
        <v>-212.2999999999998</v>
      </c>
      <c r="K130" s="75">
        <f t="shared" si="130"/>
        <v>-408</v>
      </c>
      <c r="L130" s="75">
        <f t="shared" si="130"/>
        <v>-485</v>
      </c>
      <c r="M130" s="75">
        <f t="shared" si="130"/>
        <v>-432</v>
      </c>
      <c r="N130" s="75">
        <f t="shared" si="130"/>
        <v>29</v>
      </c>
      <c r="O130" s="75">
        <f t="shared" si="130"/>
        <v>-266</v>
      </c>
      <c r="P130" s="75">
        <f t="shared" si="130"/>
        <v>3555</v>
      </c>
      <c r="Q130" s="75">
        <f t="shared" si="130"/>
        <v>11793</v>
      </c>
      <c r="R130" s="75">
        <f aca="true" t="shared" si="131" ref="R130:AG130">R92+R99+R125</f>
        <v>4360</v>
      </c>
      <c r="S130" s="75">
        <f t="shared" si="131"/>
        <v>7233.000000000001</v>
      </c>
      <c r="T130" s="75">
        <f t="shared" si="131"/>
        <v>3037</v>
      </c>
      <c r="U130" s="75">
        <f t="shared" si="131"/>
        <v>-1353</v>
      </c>
      <c r="V130" s="75">
        <f t="shared" si="131"/>
        <v>12784</v>
      </c>
      <c r="W130" s="75">
        <f t="shared" si="131"/>
        <v>-2747</v>
      </c>
      <c r="X130" s="75">
        <f t="shared" si="131"/>
        <v>-4815</v>
      </c>
      <c r="Y130" s="75">
        <f t="shared" si="131"/>
        <v>7368.000000000001</v>
      </c>
      <c r="Z130" s="75">
        <f t="shared" si="131"/>
        <v>358</v>
      </c>
      <c r="AA130" s="75">
        <f t="shared" si="131"/>
        <v>1924</v>
      </c>
      <c r="AB130" s="75">
        <f t="shared" si="131"/>
        <v>-476</v>
      </c>
      <c r="AC130" s="75">
        <f t="shared" si="131"/>
        <v>-5155</v>
      </c>
      <c r="AD130" s="75">
        <f t="shared" si="131"/>
        <v>-2090.0000000000005</v>
      </c>
      <c r="AE130" s="75">
        <f t="shared" si="131"/>
        <v>-1868.999999999999</v>
      </c>
      <c r="AF130" s="75">
        <f t="shared" si="131"/>
        <v>-191</v>
      </c>
      <c r="AG130" s="75">
        <f t="shared" si="131"/>
        <v>326.9999999999982</v>
      </c>
      <c r="AH130" s="75">
        <f>AH92+AH99+AH125</f>
        <v>-9448</v>
      </c>
      <c r="AI130" s="75">
        <f aca="true" t="shared" si="132" ref="AI130:AQ130">AI92+AI99+AI125</f>
        <v>-6504</v>
      </c>
      <c r="AJ130" s="75">
        <f t="shared" si="132"/>
        <v>-4215</v>
      </c>
      <c r="AK130" s="75">
        <f t="shared" si="132"/>
        <v>4956</v>
      </c>
      <c r="AL130" s="75">
        <f t="shared" si="132"/>
        <v>3358.000000000001</v>
      </c>
      <c r="AM130" s="75">
        <f t="shared" si="132"/>
        <v>5232</v>
      </c>
      <c r="AN130" s="75">
        <f t="shared" si="132"/>
        <v>2213</v>
      </c>
      <c r="AO130" s="75">
        <f t="shared" si="132"/>
        <v>-2140</v>
      </c>
      <c r="AP130" s="75">
        <f t="shared" si="132"/>
        <v>6589</v>
      </c>
      <c r="AQ130" s="75">
        <f t="shared" si="132"/>
        <v>12500</v>
      </c>
      <c r="AR130" s="75">
        <f>AR92+AR99+AR125</f>
        <v>5985</v>
      </c>
      <c r="AS130" s="75">
        <f>AS92+AS99+AS125</f>
        <v>11296</v>
      </c>
      <c r="AT130" s="75">
        <f>AT92+AT99+AT125</f>
        <v>11814</v>
      </c>
      <c r="AU130" s="75" t="e">
        <f>AU92+AU99+AU125</f>
        <v>#VALUE!</v>
      </c>
    </row>
    <row r="131" spans="1:47" s="7" customFormat="1" ht="12.75">
      <c r="A131" s="13" t="s">
        <v>55</v>
      </c>
      <c r="B131" s="7">
        <f>B93+B100+B125</f>
        <v>-95.50000000000003</v>
      </c>
      <c r="C131" s="7">
        <f aca="true" t="shared" si="133" ref="C131:R131">C93+C100+C125</f>
        <v>-69.79999999999995</v>
      </c>
      <c r="D131" s="7">
        <f t="shared" si="133"/>
        <v>-27.20000000000001</v>
      </c>
      <c r="E131" s="7">
        <f t="shared" si="133"/>
        <v>28.09999999999995</v>
      </c>
      <c r="F131" s="7">
        <f t="shared" si="133"/>
        <v>70.70000000000007</v>
      </c>
      <c r="G131" s="7">
        <f t="shared" si="133"/>
        <v>140.59999999999997</v>
      </c>
      <c r="H131" s="7">
        <f t="shared" si="133"/>
        <v>-74</v>
      </c>
      <c r="I131" s="7">
        <f t="shared" si="133"/>
        <v>-139.60000000000008</v>
      </c>
      <c r="J131" s="7">
        <f t="shared" si="133"/>
        <v>-212.29999999999993</v>
      </c>
      <c r="K131" s="7">
        <f t="shared" si="133"/>
        <v>-408</v>
      </c>
      <c r="L131" s="7">
        <f t="shared" si="133"/>
        <v>-485</v>
      </c>
      <c r="M131" s="7">
        <f t="shared" si="133"/>
        <v>-432</v>
      </c>
      <c r="N131" s="7">
        <f t="shared" si="133"/>
        <v>29</v>
      </c>
      <c r="O131" s="7">
        <f t="shared" si="133"/>
        <v>-266</v>
      </c>
      <c r="P131" s="7">
        <f t="shared" si="133"/>
        <v>3555</v>
      </c>
      <c r="Q131" s="7">
        <f t="shared" si="133"/>
        <v>11793</v>
      </c>
      <c r="R131" s="7">
        <f t="shared" si="133"/>
        <v>4360</v>
      </c>
      <c r="S131" s="7">
        <f aca="true" t="shared" si="134" ref="S131:AH131">S93+S100+S125</f>
        <v>7233</v>
      </c>
      <c r="T131" s="7">
        <f t="shared" si="134"/>
        <v>3037</v>
      </c>
      <c r="U131" s="7">
        <f t="shared" si="134"/>
        <v>-1353</v>
      </c>
      <c r="V131" s="7">
        <f t="shared" si="134"/>
        <v>12784</v>
      </c>
      <c r="W131" s="7">
        <f t="shared" si="134"/>
        <v>-2747</v>
      </c>
      <c r="X131" s="7">
        <f t="shared" si="134"/>
        <v>-4815</v>
      </c>
      <c r="Y131" s="7">
        <f t="shared" si="134"/>
        <v>7368</v>
      </c>
      <c r="Z131" s="7">
        <f t="shared" si="134"/>
        <v>358</v>
      </c>
      <c r="AA131" s="7">
        <f t="shared" si="134"/>
        <v>1924</v>
      </c>
      <c r="AB131" s="7">
        <f t="shared" si="134"/>
        <v>-476</v>
      </c>
      <c r="AC131" s="7">
        <f t="shared" si="134"/>
        <v>-5155</v>
      </c>
      <c r="AD131" s="7">
        <f t="shared" si="134"/>
        <v>-2090</v>
      </c>
      <c r="AE131" s="7">
        <f t="shared" si="134"/>
        <v>-1869</v>
      </c>
      <c r="AF131" s="7">
        <f t="shared" si="134"/>
        <v>-191</v>
      </c>
      <c r="AG131" s="7">
        <f t="shared" si="134"/>
        <v>327</v>
      </c>
      <c r="AH131" s="7">
        <f t="shared" si="134"/>
        <v>-9448</v>
      </c>
      <c r="AI131" s="7">
        <f aca="true" t="shared" si="135" ref="AI131:AQ131">AI93+AI100+AI125</f>
        <v>-6504</v>
      </c>
      <c r="AJ131" s="7">
        <f t="shared" si="135"/>
        <v>-4215</v>
      </c>
      <c r="AK131" s="7">
        <f t="shared" si="135"/>
        <v>4956</v>
      </c>
      <c r="AL131" s="7">
        <f t="shared" si="135"/>
        <v>3358</v>
      </c>
      <c r="AM131" s="7">
        <f t="shared" si="135"/>
        <v>5232</v>
      </c>
      <c r="AN131" s="7">
        <f t="shared" si="135"/>
        <v>2213</v>
      </c>
      <c r="AO131" s="7">
        <f t="shared" si="135"/>
        <v>-2140</v>
      </c>
      <c r="AP131" s="7">
        <f t="shared" si="135"/>
        <v>6589</v>
      </c>
      <c r="AQ131" s="7">
        <f t="shared" si="135"/>
        <v>12500</v>
      </c>
      <c r="AR131" s="7">
        <f>AR93+AR100+AR125</f>
        <v>5985</v>
      </c>
      <c r="AS131" s="7">
        <f>AS93+AS100+AS125</f>
        <v>11296</v>
      </c>
      <c r="AT131" s="7">
        <f>AT93+AT100+AT125</f>
        <v>11814</v>
      </c>
      <c r="AU131" s="7" t="e">
        <f>AU93+AU100+AU125</f>
        <v>#VALUE!</v>
      </c>
    </row>
    <row r="132" s="2" customFormat="1" ht="12.75">
      <c r="A132" s="4"/>
    </row>
    <row r="133" spans="1:47" s="7" customFormat="1" ht="12.75">
      <c r="A133" s="17" t="s">
        <v>56</v>
      </c>
      <c r="B133" s="7">
        <f>B134+B139</f>
        <v>68.80000000000001</v>
      </c>
      <c r="C133" s="7">
        <f aca="true" t="shared" si="136" ref="C133:R133">C134+C139</f>
        <v>16.600000000000005</v>
      </c>
      <c r="D133" s="7">
        <f t="shared" si="136"/>
        <v>89.39999999999999</v>
      </c>
      <c r="E133" s="7">
        <f t="shared" si="136"/>
        <v>2.199999999999997</v>
      </c>
      <c r="F133" s="7">
        <f t="shared" si="136"/>
        <v>-40.1</v>
      </c>
      <c r="G133" s="7">
        <f t="shared" si="136"/>
        <v>-45.2</v>
      </c>
      <c r="H133" s="7">
        <f t="shared" si="136"/>
        <v>19.199999999999996</v>
      </c>
      <c r="I133" s="7">
        <f t="shared" si="136"/>
        <v>119.7</v>
      </c>
      <c r="J133" s="7">
        <f t="shared" si="136"/>
        <v>214.19999999999996</v>
      </c>
      <c r="K133" s="7">
        <f t="shared" si="136"/>
        <v>460</v>
      </c>
      <c r="L133" s="7">
        <f t="shared" si="136"/>
        <v>593</v>
      </c>
      <c r="M133" s="7">
        <f t="shared" si="136"/>
        <v>460</v>
      </c>
      <c r="N133" s="7">
        <f t="shared" si="136"/>
        <v>868</v>
      </c>
      <c r="O133" s="7">
        <f t="shared" si="136"/>
        <v>639</v>
      </c>
      <c r="P133" s="7">
        <f t="shared" si="136"/>
        <v>-2180</v>
      </c>
      <c r="Q133" s="7">
        <f t="shared" si="136"/>
        <v>-4699</v>
      </c>
      <c r="R133" s="7">
        <f t="shared" si="136"/>
        <v>-3471</v>
      </c>
      <c r="S133" s="7">
        <f aca="true" t="shared" si="137" ref="S133:AH133">S134+S139</f>
        <v>-4007</v>
      </c>
      <c r="T133" s="7">
        <f t="shared" si="137"/>
        <v>-1274</v>
      </c>
      <c r="U133" s="7">
        <f t="shared" si="137"/>
        <v>1851</v>
      </c>
      <c r="V133" s="7">
        <f t="shared" si="137"/>
        <v>-6889</v>
      </c>
      <c r="W133" s="7">
        <f t="shared" si="137"/>
        <v>-843</v>
      </c>
      <c r="X133" s="7">
        <f t="shared" si="137"/>
        <v>2069</v>
      </c>
      <c r="Y133" s="7">
        <f t="shared" si="137"/>
        <v>-7730</v>
      </c>
      <c r="Z133" s="7">
        <f t="shared" si="137"/>
        <v>16</v>
      </c>
      <c r="AA133" s="7">
        <f t="shared" si="137"/>
        <v>-2475</v>
      </c>
      <c r="AB133" s="7">
        <f t="shared" si="137"/>
        <v>-1513</v>
      </c>
      <c r="AC133" s="7">
        <f t="shared" si="137"/>
        <v>2172</v>
      </c>
      <c r="AD133" s="7">
        <f t="shared" si="137"/>
        <v>1068</v>
      </c>
      <c r="AE133" s="7">
        <f t="shared" si="137"/>
        <v>320</v>
      </c>
      <c r="AF133" s="7">
        <f t="shared" si="137"/>
        <v>3261</v>
      </c>
      <c r="AG133" s="7">
        <f t="shared" si="137"/>
        <v>295</v>
      </c>
      <c r="AH133" s="7">
        <f t="shared" si="137"/>
        <v>6032</v>
      </c>
      <c r="AI133" s="7">
        <f aca="true" t="shared" si="138" ref="AI133:AQ133">AI134+AI139</f>
        <v>4699</v>
      </c>
      <c r="AJ133" s="7">
        <f t="shared" si="138"/>
        <v>5563</v>
      </c>
      <c r="AK133" s="7">
        <f>AK134+AK139</f>
        <v>-347</v>
      </c>
      <c r="AL133" s="7">
        <f t="shared" si="138"/>
        <v>-774</v>
      </c>
      <c r="AM133" s="7">
        <f t="shared" si="138"/>
        <v>-5508</v>
      </c>
      <c r="AN133" s="7">
        <f t="shared" si="138"/>
        <v>-4822</v>
      </c>
      <c r="AO133" s="7">
        <f t="shared" si="138"/>
        <v>2270</v>
      </c>
      <c r="AP133" s="7">
        <f t="shared" si="138"/>
        <v>-5894</v>
      </c>
      <c r="AQ133" s="7">
        <f t="shared" si="138"/>
        <v>-4573</v>
      </c>
      <c r="AR133" s="7">
        <f>AR134+AR139</f>
        <v>1150</v>
      </c>
      <c r="AS133" s="7">
        <f>AS134+AS139</f>
        <v>2533</v>
      </c>
      <c r="AT133" s="7">
        <f>AT134+AT139</f>
        <v>4015</v>
      </c>
      <c r="AU133" s="7">
        <f>AU134+AU139</f>
        <v>0</v>
      </c>
    </row>
    <row r="134" spans="1:47" s="21" customFormat="1" ht="12.75">
      <c r="A134" s="20" t="s">
        <v>57</v>
      </c>
      <c r="B134" s="21">
        <f>B136+B137+B138</f>
        <v>68.80000000000001</v>
      </c>
      <c r="C134" s="21">
        <f aca="true" t="shared" si="139" ref="C134:R134">C136+C137+C138</f>
        <v>16.600000000000005</v>
      </c>
      <c r="D134" s="21">
        <f t="shared" si="139"/>
        <v>89.39999999999999</v>
      </c>
      <c r="E134" s="21">
        <f t="shared" si="139"/>
        <v>2.199999999999997</v>
      </c>
      <c r="F134" s="21">
        <f t="shared" si="139"/>
        <v>-40.1</v>
      </c>
      <c r="G134" s="21">
        <f t="shared" si="139"/>
        <v>-45.2</v>
      </c>
      <c r="H134" s="21">
        <f t="shared" si="139"/>
        <v>19.199999999999996</v>
      </c>
      <c r="I134" s="21">
        <f t="shared" si="139"/>
        <v>119.7</v>
      </c>
      <c r="J134" s="21">
        <f t="shared" si="139"/>
        <v>214.19999999999996</v>
      </c>
      <c r="K134" s="21">
        <f t="shared" si="139"/>
        <v>460</v>
      </c>
      <c r="L134" s="21">
        <f t="shared" si="139"/>
        <v>593</v>
      </c>
      <c r="M134" s="21">
        <f t="shared" si="139"/>
        <v>460</v>
      </c>
      <c r="N134" s="21">
        <f t="shared" si="139"/>
        <v>868</v>
      </c>
      <c r="O134" s="21">
        <f t="shared" si="139"/>
        <v>639</v>
      </c>
      <c r="P134" s="21">
        <f t="shared" si="139"/>
        <v>-1975</v>
      </c>
      <c r="Q134" s="21">
        <f t="shared" si="139"/>
        <v>-4582</v>
      </c>
      <c r="R134" s="21">
        <f t="shared" si="139"/>
        <v>-3136</v>
      </c>
      <c r="S134" s="21">
        <f aca="true" t="shared" si="140" ref="S134:AH134">S136+S137+S138</f>
        <v>-3504</v>
      </c>
      <c r="T134" s="21">
        <f t="shared" si="140"/>
        <v>-84</v>
      </c>
      <c r="U134" s="21">
        <f t="shared" si="140"/>
        <v>408</v>
      </c>
      <c r="V134" s="21">
        <f t="shared" si="140"/>
        <v>-268</v>
      </c>
      <c r="W134" s="21">
        <f t="shared" si="140"/>
        <v>0</v>
      </c>
      <c r="X134" s="21">
        <f t="shared" si="140"/>
        <v>289</v>
      </c>
      <c r="Y134" s="21">
        <f t="shared" si="140"/>
        <v>-5182</v>
      </c>
      <c r="Z134" s="21">
        <f t="shared" si="140"/>
        <v>-271</v>
      </c>
      <c r="AA134" s="21">
        <f t="shared" si="140"/>
        <v>-421</v>
      </c>
      <c r="AB134" s="21">
        <f t="shared" si="140"/>
        <v>-160</v>
      </c>
      <c r="AC134" s="21">
        <f t="shared" si="140"/>
        <v>802</v>
      </c>
      <c r="AD134" s="21">
        <f t="shared" si="140"/>
        <v>719</v>
      </c>
      <c r="AE134" s="21">
        <f t="shared" si="140"/>
        <v>-57</v>
      </c>
      <c r="AF134" s="21">
        <f t="shared" si="140"/>
        <v>1026</v>
      </c>
      <c r="AG134" s="21">
        <f t="shared" si="140"/>
        <v>101</v>
      </c>
      <c r="AH134" s="21">
        <f t="shared" si="140"/>
        <v>1350</v>
      </c>
      <c r="AI134" s="21">
        <f aca="true" t="shared" si="141" ref="AI134:AQ134">AI136+AI137+AI138</f>
        <v>4894</v>
      </c>
      <c r="AJ134" s="21">
        <f t="shared" si="141"/>
        <v>-1315</v>
      </c>
      <c r="AK134" s="21">
        <f t="shared" si="141"/>
        <v>10417</v>
      </c>
      <c r="AL134" s="21">
        <f t="shared" si="141"/>
        <v>1457</v>
      </c>
      <c r="AM134" s="21">
        <f t="shared" si="141"/>
        <v>-5246</v>
      </c>
      <c r="AN134" s="21">
        <f t="shared" si="141"/>
        <v>-3554</v>
      </c>
      <c r="AO134" s="21">
        <f t="shared" si="141"/>
        <v>-1</v>
      </c>
      <c r="AP134" s="21">
        <f t="shared" si="141"/>
        <v>-3342</v>
      </c>
      <c r="AQ134" s="21">
        <f t="shared" si="141"/>
        <v>-3218</v>
      </c>
      <c r="AR134" s="21">
        <f>AR136+AR137+AR138</f>
        <v>2361</v>
      </c>
      <c r="AS134" s="21">
        <f>AS136+AS137+AS138</f>
        <v>3329</v>
      </c>
      <c r="AT134" s="21">
        <f>AT136+AT137+AT138</f>
        <v>1350</v>
      </c>
      <c r="AU134" s="21">
        <f>AU136+AU137+AU138</f>
        <v>0</v>
      </c>
    </row>
    <row r="135" spans="1:47" s="5" customFormat="1" ht="12.75">
      <c r="A135" s="6" t="s">
        <v>58</v>
      </c>
      <c r="B135" s="2">
        <f>B136+B137+B140</f>
        <v>68.80000000000001</v>
      </c>
      <c r="C135" s="2">
        <f aca="true" t="shared" si="142" ref="C135:R135">C136+C137+C140</f>
        <v>15.400000000000006</v>
      </c>
      <c r="D135" s="2">
        <f t="shared" si="142"/>
        <v>86.8</v>
      </c>
      <c r="E135" s="2">
        <f t="shared" si="142"/>
        <v>0.29999999999999716</v>
      </c>
      <c r="F135" s="2">
        <f t="shared" si="142"/>
        <v>-44.2</v>
      </c>
      <c r="G135" s="2">
        <f t="shared" si="142"/>
        <v>-45.6</v>
      </c>
      <c r="H135" s="2">
        <f t="shared" si="142"/>
        <v>19.199999999999996</v>
      </c>
      <c r="I135" s="2">
        <f t="shared" si="142"/>
        <v>105.6</v>
      </c>
      <c r="J135" s="2">
        <f t="shared" si="142"/>
        <v>201.59999999999997</v>
      </c>
      <c r="K135" s="2">
        <f t="shared" si="142"/>
        <v>363</v>
      </c>
      <c r="L135" s="2">
        <f t="shared" si="142"/>
        <v>402</v>
      </c>
      <c r="M135" s="2">
        <f t="shared" si="142"/>
        <v>396</v>
      </c>
      <c r="N135" s="2">
        <f t="shared" si="142"/>
        <v>651</v>
      </c>
      <c r="O135" s="2">
        <f t="shared" si="142"/>
        <v>523</v>
      </c>
      <c r="P135" s="2">
        <f t="shared" si="142"/>
        <v>751</v>
      </c>
      <c r="Q135" s="2">
        <f t="shared" si="142"/>
        <v>-3458</v>
      </c>
      <c r="R135" s="2">
        <f t="shared" si="142"/>
        <v>-3372</v>
      </c>
      <c r="S135" s="2">
        <f aca="true" t="shared" si="143" ref="S135:AH135">S136+S137+S140</f>
        <v>-1405</v>
      </c>
      <c r="T135" s="2">
        <f t="shared" si="143"/>
        <v>696</v>
      </c>
      <c r="U135" s="2">
        <f t="shared" si="143"/>
        <v>3425</v>
      </c>
      <c r="V135" s="2">
        <f t="shared" si="143"/>
        <v>-4676</v>
      </c>
      <c r="W135" s="2">
        <f t="shared" si="143"/>
        <v>-26</v>
      </c>
      <c r="X135" s="2">
        <f t="shared" si="143"/>
        <v>2261</v>
      </c>
      <c r="Y135" s="2">
        <f t="shared" si="143"/>
        <v>-6855</v>
      </c>
      <c r="Z135" s="2">
        <f t="shared" si="143"/>
        <v>-151</v>
      </c>
      <c r="AA135" s="2">
        <f t="shared" si="143"/>
        <v>-306</v>
      </c>
      <c r="AB135" s="2">
        <f t="shared" si="143"/>
        <v>-115</v>
      </c>
      <c r="AC135" s="2">
        <f t="shared" si="143"/>
        <v>840</v>
      </c>
      <c r="AD135" s="2">
        <f t="shared" si="143"/>
        <v>757</v>
      </c>
      <c r="AE135" s="2">
        <f t="shared" si="143"/>
        <v>113</v>
      </c>
      <c r="AF135" s="2">
        <f t="shared" si="143"/>
        <v>1529</v>
      </c>
      <c r="AG135" s="2">
        <f t="shared" si="143"/>
        <v>488</v>
      </c>
      <c r="AH135" s="2">
        <f t="shared" si="143"/>
        <v>978</v>
      </c>
      <c r="AI135" s="2">
        <f aca="true" t="shared" si="144" ref="AI135:AQ135">AI136+AI137+AI140</f>
        <v>4957</v>
      </c>
      <c r="AJ135" s="2">
        <f t="shared" si="144"/>
        <v>-1247</v>
      </c>
      <c r="AK135" s="2">
        <f t="shared" si="144"/>
        <v>10153</v>
      </c>
      <c r="AL135" s="2">
        <f t="shared" si="144"/>
        <v>1855</v>
      </c>
      <c r="AM135" s="2">
        <f t="shared" si="144"/>
        <v>-4854</v>
      </c>
      <c r="AN135" s="2">
        <f t="shared" si="144"/>
        <v>-3805</v>
      </c>
      <c r="AO135" s="2">
        <f t="shared" si="144"/>
        <v>80</v>
      </c>
      <c r="AP135" s="2">
        <f t="shared" si="144"/>
        <v>-3501</v>
      </c>
      <c r="AQ135" s="2">
        <f t="shared" si="144"/>
        <v>-3039</v>
      </c>
      <c r="AR135" s="2">
        <f>AR136+AR137+AR140</f>
        <v>2549</v>
      </c>
      <c r="AS135" s="2">
        <v>3079</v>
      </c>
      <c r="AT135" s="2">
        <v>707</v>
      </c>
      <c r="AU135" s="2">
        <f>AU136+AU137+AU140</f>
        <v>0</v>
      </c>
    </row>
    <row r="136" spans="1:46" s="2" customFormat="1" ht="12.75">
      <c r="A136" s="4" t="s">
        <v>59</v>
      </c>
      <c r="B136" s="2">
        <f>B355+B359</f>
        <v>-48.9</v>
      </c>
      <c r="C136" s="2">
        <f aca="true" t="shared" si="145" ref="C136:J136">C355+C359</f>
        <v>-49.3</v>
      </c>
      <c r="D136" s="2">
        <f t="shared" si="145"/>
        <v>-47.2</v>
      </c>
      <c r="E136" s="2">
        <f t="shared" si="145"/>
        <v>-54.2</v>
      </c>
      <c r="F136" s="2">
        <f t="shared" si="145"/>
        <v>-59</v>
      </c>
      <c r="G136" s="2">
        <f t="shared" si="145"/>
        <v>-73.2</v>
      </c>
      <c r="H136" s="2">
        <f t="shared" si="145"/>
        <v>-61.1</v>
      </c>
      <c r="I136" s="2">
        <f t="shared" si="145"/>
        <v>-41</v>
      </c>
      <c r="J136" s="2">
        <f t="shared" si="145"/>
        <v>-55.3</v>
      </c>
      <c r="K136" s="2">
        <v>-112</v>
      </c>
      <c r="L136" s="2">
        <v>-161</v>
      </c>
      <c r="M136" s="2">
        <v>-256</v>
      </c>
      <c r="N136" s="2">
        <v>-327</v>
      </c>
      <c r="O136" s="2">
        <v>-467</v>
      </c>
      <c r="P136" s="5">
        <f>-541-3-1</f>
        <v>-545</v>
      </c>
      <c r="Q136" s="2">
        <v>-3715</v>
      </c>
      <c r="R136" s="2">
        <v>-3672</v>
      </c>
      <c r="S136" s="2">
        <v>-2497</v>
      </c>
      <c r="T136" s="2">
        <v>-1611</v>
      </c>
      <c r="U136" s="2">
        <f>-604-417-496</f>
        <v>-1517</v>
      </c>
      <c r="V136" s="2">
        <f>-938-342-6</f>
        <v>-1286</v>
      </c>
      <c r="W136" s="2">
        <f>-932-2</f>
        <v>-934</v>
      </c>
      <c r="X136" s="2">
        <f>-635</f>
        <v>-635</v>
      </c>
      <c r="Y136" s="2">
        <f>-5397-12</f>
        <v>-5409</v>
      </c>
      <c r="Z136" s="2">
        <v>-520</v>
      </c>
      <c r="AA136" s="2">
        <v>-445</v>
      </c>
      <c r="AB136" s="2">
        <v>-329</v>
      </c>
      <c r="AC136" s="2">
        <f>-194-10</f>
        <v>-204</v>
      </c>
      <c r="AD136" s="2">
        <v>-147</v>
      </c>
      <c r="AE136" s="2">
        <v>-20</v>
      </c>
      <c r="AF136" s="2">
        <v>-10</v>
      </c>
      <c r="AG136" s="2">
        <v>52</v>
      </c>
      <c r="AH136" s="2">
        <v>476</v>
      </c>
      <c r="AI136" s="2">
        <v>4600</v>
      </c>
      <c r="AJ136" s="2">
        <v>-1328</v>
      </c>
      <c r="AK136" s="2">
        <v>10488</v>
      </c>
      <c r="AL136" s="2">
        <v>1362</v>
      </c>
      <c r="AM136" s="2">
        <v>-5114</v>
      </c>
      <c r="AN136" s="2">
        <v>-3450</v>
      </c>
      <c r="AO136" s="2">
        <v>-206</v>
      </c>
      <c r="AP136" s="2">
        <v>-3365</v>
      </c>
      <c r="AQ136" s="2">
        <v>-3297</v>
      </c>
      <c r="AR136" s="2">
        <v>2456</v>
      </c>
      <c r="AS136" s="2">
        <v>3081</v>
      </c>
      <c r="AT136" s="2">
        <v>708</v>
      </c>
    </row>
    <row r="137" spans="1:46" s="2" customFormat="1" ht="12.75">
      <c r="A137" s="4" t="s">
        <v>60</v>
      </c>
      <c r="B137" s="2">
        <f>B349+B353</f>
        <v>117.7</v>
      </c>
      <c r="C137" s="2">
        <f aca="true" t="shared" si="146" ref="C137:J137">C349+C353</f>
        <v>64.7</v>
      </c>
      <c r="D137" s="2">
        <f t="shared" si="146"/>
        <v>134</v>
      </c>
      <c r="E137" s="2">
        <f t="shared" si="146"/>
        <v>54.5</v>
      </c>
      <c r="F137" s="2">
        <f t="shared" si="146"/>
        <v>14.8</v>
      </c>
      <c r="G137" s="2">
        <f t="shared" si="146"/>
        <v>27.6</v>
      </c>
      <c r="H137" s="2">
        <f t="shared" si="146"/>
        <v>80.3</v>
      </c>
      <c r="I137" s="2">
        <f t="shared" si="146"/>
        <v>146.6</v>
      </c>
      <c r="J137" s="2">
        <f t="shared" si="146"/>
        <v>256.9</v>
      </c>
      <c r="K137" s="2">
        <v>475</v>
      </c>
      <c r="L137" s="2">
        <f>542+21</f>
        <v>563</v>
      </c>
      <c r="M137" s="2">
        <f>632+20</f>
        <v>652</v>
      </c>
      <c r="N137" s="2">
        <f>958+20</f>
        <v>978</v>
      </c>
      <c r="O137" s="2">
        <v>990</v>
      </c>
      <c r="P137" s="2">
        <f>1296</f>
        <v>1296</v>
      </c>
      <c r="Q137" s="2">
        <v>257</v>
      </c>
      <c r="R137" s="2">
        <v>300</v>
      </c>
      <c r="S137" s="2">
        <v>1092</v>
      </c>
      <c r="T137" s="2">
        <v>2307</v>
      </c>
      <c r="U137" s="2">
        <f>(619)+(515)+(593)+91</f>
        <v>1818</v>
      </c>
      <c r="V137" s="2">
        <f>(3)+(942)+(108)+85</f>
        <v>1138</v>
      </c>
      <c r="W137" s="2">
        <f>(5)+723+(158)+63</f>
        <v>949</v>
      </c>
      <c r="X137" s="2">
        <f>(441)+618</f>
        <v>1059</v>
      </c>
      <c r="Y137" s="2">
        <f>(130)+(172)</f>
        <v>302</v>
      </c>
      <c r="Z137" s="2">
        <f>(87)+282</f>
        <v>369</v>
      </c>
      <c r="AA137" s="2">
        <v>139</v>
      </c>
      <c r="AB137" s="2">
        <f>9+205</f>
        <v>214</v>
      </c>
      <c r="AC137" s="2">
        <f>4+1040</f>
        <v>1044</v>
      </c>
      <c r="AD137" s="2">
        <v>904</v>
      </c>
      <c r="AE137" s="2">
        <v>16</v>
      </c>
      <c r="AF137" s="2">
        <v>1038</v>
      </c>
      <c r="AG137" s="2">
        <v>49</v>
      </c>
      <c r="AH137" s="2">
        <v>874</v>
      </c>
      <c r="AI137" s="2">
        <v>294</v>
      </c>
      <c r="AJ137" s="2">
        <v>13</v>
      </c>
      <c r="AK137" s="2">
        <v>-73</v>
      </c>
      <c r="AL137" s="2">
        <v>71</v>
      </c>
      <c r="AM137" s="2">
        <v>-146</v>
      </c>
      <c r="AN137" s="2">
        <v>-147</v>
      </c>
      <c r="AO137" s="2">
        <v>193</v>
      </c>
      <c r="AP137" s="2">
        <v>-6</v>
      </c>
      <c r="AQ137" s="2">
        <v>-2</v>
      </c>
      <c r="AR137" s="2">
        <v>-1</v>
      </c>
      <c r="AS137" s="2">
        <v>-2</v>
      </c>
      <c r="AT137" s="2">
        <v>-1</v>
      </c>
    </row>
    <row r="138" spans="1:46" s="5" customFormat="1" ht="12.75">
      <c r="A138" s="6" t="s">
        <v>61</v>
      </c>
      <c r="B138" s="5">
        <f>B350+B351+B352+B356+B357+B358+B360</f>
        <v>0</v>
      </c>
      <c r="C138" s="5">
        <f aca="true" t="shared" si="147" ref="C138:J138">C350+C351+C352+C356+C357+C358+C360</f>
        <v>1.2000000000000002</v>
      </c>
      <c r="D138" s="5">
        <f t="shared" si="147"/>
        <v>2.6</v>
      </c>
      <c r="E138" s="5">
        <f t="shared" si="147"/>
        <v>1.9</v>
      </c>
      <c r="F138" s="5">
        <f t="shared" si="147"/>
        <v>4.1000000000000005</v>
      </c>
      <c r="G138" s="5">
        <f t="shared" si="147"/>
        <v>0.4</v>
      </c>
      <c r="H138" s="72">
        <f t="shared" si="147"/>
        <v>-5.551115123125783E-16</v>
      </c>
      <c r="I138" s="5">
        <f t="shared" si="147"/>
        <v>14.100000000000003</v>
      </c>
      <c r="J138" s="5">
        <f t="shared" si="147"/>
        <v>12.600000000000001</v>
      </c>
      <c r="K138" s="5">
        <f>(90-5)+(15-3)</f>
        <v>97</v>
      </c>
      <c r="L138" s="5">
        <v>191</v>
      </c>
      <c r="M138" s="5">
        <v>64</v>
      </c>
      <c r="N138" s="5">
        <v>217</v>
      </c>
      <c r="O138" s="5">
        <v>116</v>
      </c>
      <c r="P138" s="5">
        <f>209-2925-10</f>
        <v>-2726</v>
      </c>
      <c r="Q138" s="5">
        <v>-1124</v>
      </c>
      <c r="R138" s="5">
        <v>236</v>
      </c>
      <c r="S138" s="5">
        <v>-2099</v>
      </c>
      <c r="T138" s="5">
        <v>-780</v>
      </c>
      <c r="U138" s="5">
        <f>547-440</f>
        <v>107</v>
      </c>
      <c r="V138" s="5">
        <f>172-292</f>
        <v>-120</v>
      </c>
      <c r="W138" s="5">
        <v>-15</v>
      </c>
      <c r="X138" s="5">
        <f>32-167</f>
        <v>-135</v>
      </c>
      <c r="Y138" s="5">
        <f>8-83</f>
        <v>-75</v>
      </c>
      <c r="Z138" s="5">
        <v>-120</v>
      </c>
      <c r="AA138" s="5">
        <v>-115</v>
      </c>
      <c r="AB138" s="5">
        <v>-45</v>
      </c>
      <c r="AC138" s="5">
        <v>-38</v>
      </c>
      <c r="AD138" s="5">
        <v>-38</v>
      </c>
      <c r="AE138" s="5">
        <v>-53</v>
      </c>
      <c r="AF138" s="5">
        <v>-2</v>
      </c>
      <c r="AG138" s="5">
        <v>0</v>
      </c>
      <c r="AH138" s="5">
        <v>0</v>
      </c>
      <c r="AI138" s="5">
        <v>0</v>
      </c>
      <c r="AJ138" s="5">
        <v>0</v>
      </c>
      <c r="AK138" s="5">
        <v>2</v>
      </c>
      <c r="AL138" s="5">
        <v>24</v>
      </c>
      <c r="AM138" s="5">
        <v>14</v>
      </c>
      <c r="AN138" s="5">
        <v>43</v>
      </c>
      <c r="AO138" s="5">
        <v>12</v>
      </c>
      <c r="AP138" s="5">
        <v>29</v>
      </c>
      <c r="AQ138" s="5">
        <v>81</v>
      </c>
      <c r="AR138" s="5">
        <v>-94</v>
      </c>
      <c r="AS138" s="5">
        <v>250</v>
      </c>
      <c r="AT138" s="5">
        <v>643</v>
      </c>
    </row>
    <row r="139" spans="1:47" s="21" customFormat="1" ht="12.75">
      <c r="A139" s="20" t="s">
        <v>62</v>
      </c>
      <c r="B139" s="21">
        <f>B140+B141+B142</f>
        <v>0</v>
      </c>
      <c r="C139" s="21">
        <f aca="true" t="shared" si="148" ref="C139:R139">C140+C141+C142</f>
        <v>0</v>
      </c>
      <c r="D139" s="21">
        <f t="shared" si="148"/>
        <v>0</v>
      </c>
      <c r="E139" s="21">
        <f t="shared" si="148"/>
        <v>0</v>
      </c>
      <c r="F139" s="21">
        <f t="shared" si="148"/>
        <v>0</v>
      </c>
      <c r="G139" s="21">
        <f t="shared" si="148"/>
        <v>0</v>
      </c>
      <c r="H139" s="21">
        <f t="shared" si="148"/>
        <v>0</v>
      </c>
      <c r="I139" s="21">
        <f t="shared" si="148"/>
        <v>0</v>
      </c>
      <c r="J139" s="21">
        <f t="shared" si="148"/>
        <v>0</v>
      </c>
      <c r="K139" s="21">
        <f t="shared" si="148"/>
        <v>0</v>
      </c>
      <c r="L139" s="21">
        <f t="shared" si="148"/>
        <v>0</v>
      </c>
      <c r="M139" s="21">
        <f t="shared" si="148"/>
        <v>0</v>
      </c>
      <c r="N139" s="21">
        <f t="shared" si="148"/>
        <v>0</v>
      </c>
      <c r="O139" s="21">
        <f t="shared" si="148"/>
        <v>0</v>
      </c>
      <c r="P139" s="21">
        <f t="shared" si="148"/>
        <v>-205</v>
      </c>
      <c r="Q139" s="21">
        <f t="shared" si="148"/>
        <v>-117</v>
      </c>
      <c r="R139" s="21">
        <f t="shared" si="148"/>
        <v>-335</v>
      </c>
      <c r="S139" s="21">
        <f aca="true" t="shared" si="149" ref="S139:AH139">S140+S141+S142</f>
        <v>-503</v>
      </c>
      <c r="T139" s="21">
        <f t="shared" si="149"/>
        <v>-1190</v>
      </c>
      <c r="U139" s="21">
        <f t="shared" si="149"/>
        <v>1443</v>
      </c>
      <c r="V139" s="21">
        <f t="shared" si="149"/>
        <v>-6621</v>
      </c>
      <c r="W139" s="21">
        <f t="shared" si="149"/>
        <v>-843</v>
      </c>
      <c r="X139" s="21">
        <f t="shared" si="149"/>
        <v>1780</v>
      </c>
      <c r="Y139" s="21">
        <f t="shared" si="149"/>
        <v>-2548</v>
      </c>
      <c r="Z139" s="21">
        <f t="shared" si="149"/>
        <v>287</v>
      </c>
      <c r="AA139" s="21">
        <f t="shared" si="149"/>
        <v>-2054</v>
      </c>
      <c r="AB139" s="21">
        <f t="shared" si="149"/>
        <v>-1353</v>
      </c>
      <c r="AC139" s="21">
        <f t="shared" si="149"/>
        <v>1370</v>
      </c>
      <c r="AD139" s="21">
        <f t="shared" si="149"/>
        <v>349</v>
      </c>
      <c r="AE139" s="21">
        <f t="shared" si="149"/>
        <v>377</v>
      </c>
      <c r="AF139" s="21">
        <f t="shared" si="149"/>
        <v>2235</v>
      </c>
      <c r="AG139" s="21">
        <f t="shared" si="149"/>
        <v>194</v>
      </c>
      <c r="AH139" s="21">
        <f t="shared" si="149"/>
        <v>4682</v>
      </c>
      <c r="AI139" s="21">
        <f aca="true" t="shared" si="150" ref="AI139:AQ139">AI140+AI141+AI142</f>
        <v>-195</v>
      </c>
      <c r="AJ139" s="21">
        <f t="shared" si="150"/>
        <v>6878</v>
      </c>
      <c r="AK139" s="21">
        <f t="shared" si="150"/>
        <v>-10764</v>
      </c>
      <c r="AL139" s="21">
        <f t="shared" si="150"/>
        <v>-2231</v>
      </c>
      <c r="AM139" s="21">
        <f t="shared" si="150"/>
        <v>-262</v>
      </c>
      <c r="AN139" s="21">
        <f t="shared" si="150"/>
        <v>-1268</v>
      </c>
      <c r="AO139" s="21">
        <f t="shared" si="150"/>
        <v>2271</v>
      </c>
      <c r="AP139" s="21">
        <f t="shared" si="150"/>
        <v>-2552</v>
      </c>
      <c r="AQ139" s="21">
        <f t="shared" si="150"/>
        <v>-1355</v>
      </c>
      <c r="AR139" s="21">
        <f>AR140+AR141+AR142</f>
        <v>-1211</v>
      </c>
      <c r="AS139" s="21">
        <f>AS140+AS141+AS142</f>
        <v>-796</v>
      </c>
      <c r="AT139" s="21">
        <f>AT140+AT141+AT142</f>
        <v>2665</v>
      </c>
      <c r="AU139" s="21">
        <f>AU140+AU141+AU142</f>
        <v>0</v>
      </c>
    </row>
    <row r="140" spans="1:46" s="5" customFormat="1" ht="12.75">
      <c r="A140" s="6" t="s">
        <v>63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f>(3157-1399)+1366</f>
        <v>3124</v>
      </c>
      <c r="V140" s="5">
        <f>1399-5927</f>
        <v>-4528</v>
      </c>
      <c r="W140" s="5">
        <f>5927-5968</f>
        <v>-41</v>
      </c>
      <c r="X140" s="5">
        <f>5968-4131</f>
        <v>1837</v>
      </c>
      <c r="Y140" s="5">
        <f>4131-5879</f>
        <v>-1748</v>
      </c>
      <c r="Z140" s="5">
        <v>0</v>
      </c>
      <c r="AA140" s="5">
        <v>0</v>
      </c>
      <c r="AB140" s="5">
        <v>0</v>
      </c>
      <c r="AC140" s="5">
        <v>0</v>
      </c>
      <c r="AD140" s="5">
        <v>0</v>
      </c>
      <c r="AE140" s="5">
        <v>117</v>
      </c>
      <c r="AF140" s="5">
        <v>501</v>
      </c>
      <c r="AG140" s="5">
        <v>387</v>
      </c>
      <c r="AH140" s="5">
        <v>-372</v>
      </c>
      <c r="AI140" s="5">
        <v>63</v>
      </c>
      <c r="AJ140" s="5">
        <v>68</v>
      </c>
      <c r="AK140" s="5">
        <v>-262</v>
      </c>
      <c r="AL140" s="5">
        <v>422</v>
      </c>
      <c r="AM140" s="5">
        <v>406</v>
      </c>
      <c r="AN140" s="5">
        <v>-208</v>
      </c>
      <c r="AO140" s="5">
        <v>93</v>
      </c>
      <c r="AP140" s="5">
        <v>-130</v>
      </c>
      <c r="AQ140" s="5">
        <v>260</v>
      </c>
      <c r="AR140" s="5">
        <v>94</v>
      </c>
      <c r="AS140" s="5">
        <v>-64</v>
      </c>
      <c r="AT140" s="5">
        <v>-16</v>
      </c>
    </row>
    <row r="141" spans="1:46" s="5" customFormat="1" ht="12.75">
      <c r="A141" s="6" t="s">
        <v>64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-185</v>
      </c>
      <c r="Q141" s="5">
        <v>58</v>
      </c>
      <c r="R141" s="5">
        <v>318</v>
      </c>
      <c r="S141" s="5">
        <v>338</v>
      </c>
      <c r="T141" s="5">
        <v>-489</v>
      </c>
      <c r="U141" s="5">
        <f>(64-191)+396+50</f>
        <v>319</v>
      </c>
      <c r="V141" s="5">
        <f>-1790-416+113</f>
        <v>-2093</v>
      </c>
      <c r="W141" s="5">
        <f>(32-689)+(3-370)+222</f>
        <v>-802</v>
      </c>
      <c r="X141" s="5">
        <f>587-142-502</f>
        <v>-57</v>
      </c>
      <c r="Y141" s="5">
        <f>-207-49-544</f>
        <v>-800</v>
      </c>
      <c r="Z141" s="5">
        <f>(51-458)+(20-78)+752</f>
        <v>287</v>
      </c>
      <c r="AA141" s="5">
        <f>(833-137)+(16-1145)-1621</f>
        <v>-2054</v>
      </c>
      <c r="AB141" s="5">
        <f>(250-543)+(2-62)-1000</f>
        <v>-1353</v>
      </c>
      <c r="AC141" s="5">
        <f>261+33+1076</f>
        <v>1370</v>
      </c>
      <c r="AD141" s="5">
        <f>(540-5)+6-192</f>
        <v>349</v>
      </c>
      <c r="AE141" s="5">
        <v>-159</v>
      </c>
      <c r="AF141" s="5">
        <v>-216</v>
      </c>
      <c r="AG141" s="5">
        <v>-551</v>
      </c>
      <c r="AH141" s="5">
        <v>661</v>
      </c>
      <c r="AI141" s="5">
        <v>342</v>
      </c>
      <c r="AJ141" s="5">
        <v>426</v>
      </c>
      <c r="AK141" s="5">
        <v>-277</v>
      </c>
      <c r="AL141" s="5">
        <v>0</v>
      </c>
      <c r="AM141" s="5">
        <v>0</v>
      </c>
      <c r="AN141" s="5">
        <v>0</v>
      </c>
      <c r="AO141" s="5">
        <v>0</v>
      </c>
      <c r="AP141" s="5">
        <v>0</v>
      </c>
      <c r="AQ141" s="5">
        <v>0</v>
      </c>
      <c r="AR141" s="5">
        <v>0</v>
      </c>
      <c r="AS141" s="5">
        <v>0</v>
      </c>
      <c r="AT141" s="5">
        <v>0</v>
      </c>
    </row>
    <row r="142" spans="1:46" s="5" customFormat="1" ht="12.75">
      <c r="A142" s="6" t="s">
        <v>16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-20</v>
      </c>
      <c r="Q142" s="5">
        <v>-175</v>
      </c>
      <c r="R142" s="5">
        <v>-653</v>
      </c>
      <c r="S142" s="5">
        <v>-841</v>
      </c>
      <c r="T142" s="5">
        <v>-701</v>
      </c>
      <c r="U142" s="5">
        <v>-2000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419</v>
      </c>
      <c r="AF142" s="5">
        <v>1950</v>
      </c>
      <c r="AG142" s="5">
        <v>358</v>
      </c>
      <c r="AH142" s="5">
        <v>4393</v>
      </c>
      <c r="AI142" s="5">
        <v>-600</v>
      </c>
      <c r="AJ142" s="5">
        <v>6384</v>
      </c>
      <c r="AK142" s="5">
        <v>-10225</v>
      </c>
      <c r="AL142" s="5">
        <v>-2653</v>
      </c>
      <c r="AM142" s="5">
        <v>-668</v>
      </c>
      <c r="AN142" s="5">
        <v>-1060</v>
      </c>
      <c r="AO142" s="5">
        <v>2178</v>
      </c>
      <c r="AP142" s="5">
        <v>-2422</v>
      </c>
      <c r="AQ142" s="5">
        <v>-1615</v>
      </c>
      <c r="AR142" s="5">
        <v>-1305</v>
      </c>
      <c r="AS142" s="5">
        <v>-732</v>
      </c>
      <c r="AT142" s="5">
        <v>2681</v>
      </c>
    </row>
    <row r="143" s="5" customFormat="1" ht="12.75">
      <c r="A143" s="6"/>
    </row>
    <row r="144" spans="1:46" s="66" customFormat="1" ht="12.75">
      <c r="A144" s="65" t="s">
        <v>65</v>
      </c>
      <c r="B144" s="66">
        <f aca="true" t="shared" si="151" ref="B144:J144">B362</f>
        <v>-3.3</v>
      </c>
      <c r="C144" s="66">
        <f t="shared" si="151"/>
        <v>-2.2</v>
      </c>
      <c r="D144" s="66">
        <f t="shared" si="151"/>
        <v>-0.8</v>
      </c>
      <c r="E144" s="66">
        <f t="shared" si="151"/>
        <v>0</v>
      </c>
      <c r="F144" s="66">
        <f t="shared" si="151"/>
        <v>0</v>
      </c>
      <c r="G144" s="66">
        <f t="shared" si="151"/>
        <v>0</v>
      </c>
      <c r="H144" s="66">
        <f t="shared" si="151"/>
        <v>2.6</v>
      </c>
      <c r="I144" s="66">
        <f t="shared" si="151"/>
        <v>-4.5</v>
      </c>
      <c r="J144" s="66">
        <f t="shared" si="151"/>
        <v>-5</v>
      </c>
      <c r="K144" s="66">
        <v>0</v>
      </c>
      <c r="L144" s="66">
        <v>0</v>
      </c>
      <c r="M144" s="66">
        <v>0</v>
      </c>
      <c r="N144" s="66">
        <v>0</v>
      </c>
      <c r="O144" s="66">
        <v>0</v>
      </c>
      <c r="P144" s="66">
        <v>0</v>
      </c>
      <c r="Q144" s="66">
        <v>0</v>
      </c>
      <c r="R144" s="66">
        <v>0</v>
      </c>
      <c r="S144" s="66">
        <v>0</v>
      </c>
      <c r="T144" s="66">
        <v>0</v>
      </c>
      <c r="U144" s="66">
        <v>-195</v>
      </c>
      <c r="V144" s="66">
        <v>-1894</v>
      </c>
      <c r="W144" s="66">
        <v>0</v>
      </c>
      <c r="X144" s="66">
        <v>245</v>
      </c>
      <c r="Y144" s="66">
        <v>936</v>
      </c>
      <c r="Z144" s="66">
        <v>-2472</v>
      </c>
      <c r="AA144" s="66">
        <v>-2626</v>
      </c>
      <c r="AB144" s="66">
        <v>2055</v>
      </c>
      <c r="AC144" s="66">
        <v>958</v>
      </c>
      <c r="AD144" s="66">
        <v>638</v>
      </c>
      <c r="AE144" s="66">
        <v>0</v>
      </c>
      <c r="AF144" s="66">
        <v>0</v>
      </c>
      <c r="AG144" s="66">
        <v>0</v>
      </c>
      <c r="AH144" s="66">
        <v>0</v>
      </c>
      <c r="AI144" s="66">
        <v>0</v>
      </c>
      <c r="AJ144" s="66">
        <v>0</v>
      </c>
      <c r="AK144" s="66">
        <v>-1806</v>
      </c>
      <c r="AL144" s="66">
        <v>518</v>
      </c>
      <c r="AM144" s="66">
        <v>1403</v>
      </c>
      <c r="AN144" s="66">
        <v>340</v>
      </c>
      <c r="AO144" s="66">
        <v>-150</v>
      </c>
      <c r="AP144" s="66">
        <v>-157</v>
      </c>
      <c r="AQ144" s="66">
        <v>211</v>
      </c>
      <c r="AR144" s="66">
        <v>-156</v>
      </c>
      <c r="AS144" s="66">
        <v>-210</v>
      </c>
      <c r="AT144" s="66">
        <v>-350</v>
      </c>
    </row>
    <row r="145" s="2" customFormat="1" ht="12.75">
      <c r="A145" s="4"/>
    </row>
    <row r="146" spans="1:46" s="8" customFormat="1" ht="12.75">
      <c r="A146" s="9" t="s">
        <v>66</v>
      </c>
      <c r="K146" s="8">
        <v>-152</v>
      </c>
      <c r="L146" s="8">
        <v>-159</v>
      </c>
      <c r="M146" s="8">
        <v>-267.8</v>
      </c>
      <c r="N146" s="8">
        <v>-398</v>
      </c>
      <c r="O146" s="8">
        <v>109</v>
      </c>
      <c r="P146" s="8">
        <v>-379</v>
      </c>
      <c r="Q146" s="8">
        <v>-1910</v>
      </c>
      <c r="R146" s="8">
        <v>-1578</v>
      </c>
      <c r="S146" s="8">
        <v>-442</v>
      </c>
      <c r="T146" s="8">
        <v>68</v>
      </c>
      <c r="U146" s="8">
        <v>-472</v>
      </c>
      <c r="V146" s="8">
        <v>-358</v>
      </c>
      <c r="W146" s="64">
        <v>0</v>
      </c>
      <c r="X146" s="8">
        <v>0</v>
      </c>
      <c r="Y146" s="8">
        <v>0</v>
      </c>
      <c r="Z146" s="8">
        <v>864</v>
      </c>
      <c r="AA146" s="8">
        <v>-1660</v>
      </c>
      <c r="AB146" s="8">
        <v>946</v>
      </c>
      <c r="AC146" s="8">
        <v>853</v>
      </c>
      <c r="AD146" s="8">
        <v>193</v>
      </c>
      <c r="AE146" s="8">
        <v>593</v>
      </c>
      <c r="AF146" s="8">
        <v>-741</v>
      </c>
      <c r="AG146" s="8">
        <v>-922</v>
      </c>
      <c r="AH146" s="8">
        <v>1319</v>
      </c>
      <c r="AI146" s="8">
        <v>1639</v>
      </c>
      <c r="AJ146" s="8">
        <v>-1116</v>
      </c>
      <c r="AK146" s="8">
        <v>-1882</v>
      </c>
      <c r="AL146" s="8">
        <v>-234</v>
      </c>
      <c r="AM146" s="8">
        <v>1219</v>
      </c>
      <c r="AN146" s="8">
        <v>-1436</v>
      </c>
      <c r="AO146" s="8">
        <v>-1552</v>
      </c>
      <c r="AP146" s="8">
        <v>1307</v>
      </c>
      <c r="AQ146" s="8">
        <v>-1609</v>
      </c>
      <c r="AR146" s="8">
        <v>-2219</v>
      </c>
      <c r="AS146" s="8">
        <v>-1242</v>
      </c>
      <c r="AT146" s="8">
        <v>-2203</v>
      </c>
    </row>
    <row r="147" spans="1:47" s="2" customFormat="1" ht="12.75">
      <c r="A147" s="4" t="s">
        <v>285</v>
      </c>
      <c r="B147" s="2">
        <f>B146+B144</f>
        <v>-3.3</v>
      </c>
      <c r="C147" s="2">
        <f aca="true" t="shared" si="152" ref="C147:AS147">C146+C144</f>
        <v>-2.2</v>
      </c>
      <c r="D147" s="2">
        <f t="shared" si="152"/>
        <v>-0.8</v>
      </c>
      <c r="E147" s="2">
        <f t="shared" si="152"/>
        <v>0</v>
      </c>
      <c r="F147" s="2">
        <f t="shared" si="152"/>
        <v>0</v>
      </c>
      <c r="G147" s="2">
        <f t="shared" si="152"/>
        <v>0</v>
      </c>
      <c r="H147" s="2">
        <f t="shared" si="152"/>
        <v>2.6</v>
      </c>
      <c r="I147" s="2">
        <f t="shared" si="152"/>
        <v>-4.5</v>
      </c>
      <c r="J147" s="2">
        <f t="shared" si="152"/>
        <v>-5</v>
      </c>
      <c r="K147" s="2">
        <f t="shared" si="152"/>
        <v>-152</v>
      </c>
      <c r="L147" s="2">
        <f t="shared" si="152"/>
        <v>-159</v>
      </c>
      <c r="M147" s="2">
        <f t="shared" si="152"/>
        <v>-267.8</v>
      </c>
      <c r="N147" s="2">
        <f t="shared" si="152"/>
        <v>-398</v>
      </c>
      <c r="O147" s="2">
        <f t="shared" si="152"/>
        <v>109</v>
      </c>
      <c r="P147" s="2">
        <f t="shared" si="152"/>
        <v>-379</v>
      </c>
      <c r="Q147" s="2">
        <f t="shared" si="152"/>
        <v>-1910</v>
      </c>
      <c r="R147" s="2">
        <f t="shared" si="152"/>
        <v>-1578</v>
      </c>
      <c r="S147" s="2">
        <f t="shared" si="152"/>
        <v>-442</v>
      </c>
      <c r="T147" s="2">
        <f t="shared" si="152"/>
        <v>68</v>
      </c>
      <c r="U147" s="2">
        <f t="shared" si="152"/>
        <v>-667</v>
      </c>
      <c r="V147" s="2">
        <f t="shared" si="152"/>
        <v>-2252</v>
      </c>
      <c r="W147" s="2">
        <f t="shared" si="152"/>
        <v>0</v>
      </c>
      <c r="X147" s="2">
        <f t="shared" si="152"/>
        <v>245</v>
      </c>
      <c r="Y147" s="2">
        <f t="shared" si="152"/>
        <v>936</v>
      </c>
      <c r="Z147" s="2">
        <f t="shared" si="152"/>
        <v>-1608</v>
      </c>
      <c r="AA147" s="2">
        <f t="shared" si="152"/>
        <v>-4286</v>
      </c>
      <c r="AB147" s="2">
        <f t="shared" si="152"/>
        <v>3001</v>
      </c>
      <c r="AC147" s="2">
        <f t="shared" si="152"/>
        <v>1811</v>
      </c>
      <c r="AD147" s="2">
        <f t="shared" si="152"/>
        <v>831</v>
      </c>
      <c r="AE147" s="2">
        <f t="shared" si="152"/>
        <v>593</v>
      </c>
      <c r="AF147" s="2">
        <f t="shared" si="152"/>
        <v>-741</v>
      </c>
      <c r="AG147" s="2">
        <f t="shared" si="152"/>
        <v>-922</v>
      </c>
      <c r="AH147" s="2">
        <f t="shared" si="152"/>
        <v>1319</v>
      </c>
      <c r="AI147" s="2">
        <f t="shared" si="152"/>
        <v>1639</v>
      </c>
      <c r="AJ147" s="2">
        <f t="shared" si="152"/>
        <v>-1116</v>
      </c>
      <c r="AK147" s="2">
        <f t="shared" si="152"/>
        <v>-3688</v>
      </c>
      <c r="AL147" s="2">
        <f t="shared" si="152"/>
        <v>284</v>
      </c>
      <c r="AM147" s="2">
        <f t="shared" si="152"/>
        <v>2622</v>
      </c>
      <c r="AN147" s="2">
        <f t="shared" si="152"/>
        <v>-1096</v>
      </c>
      <c r="AO147" s="2">
        <f t="shared" si="152"/>
        <v>-1702</v>
      </c>
      <c r="AP147" s="2">
        <f t="shared" si="152"/>
        <v>1150</v>
      </c>
      <c r="AQ147" s="2">
        <f t="shared" si="152"/>
        <v>-1398</v>
      </c>
      <c r="AR147" s="2">
        <f t="shared" si="152"/>
        <v>-2375</v>
      </c>
      <c r="AS147" s="2">
        <f t="shared" si="152"/>
        <v>-1452</v>
      </c>
      <c r="AT147" s="2">
        <f>AT146+AT144</f>
        <v>-2553</v>
      </c>
      <c r="AU147" s="2">
        <f>AU146+AU144</f>
        <v>0</v>
      </c>
    </row>
    <row r="148" spans="1:47" s="19" customFormat="1" ht="15">
      <c r="A148" s="53" t="s">
        <v>67</v>
      </c>
      <c r="B148" s="19">
        <f>B131+B133+B144+B146</f>
        <v>-30.000000000000018</v>
      </c>
      <c r="C148" s="19">
        <f aca="true" t="shared" si="153" ref="C148:R148">C131+C133+C144+C146</f>
        <v>-55.39999999999995</v>
      </c>
      <c r="D148" s="19">
        <f t="shared" si="153"/>
        <v>61.399999999999984</v>
      </c>
      <c r="E148" s="19">
        <f t="shared" si="153"/>
        <v>30.299999999999947</v>
      </c>
      <c r="F148" s="19">
        <f t="shared" si="153"/>
        <v>30.600000000000072</v>
      </c>
      <c r="G148" s="19">
        <f t="shared" si="153"/>
        <v>95.39999999999996</v>
      </c>
      <c r="H148" s="19">
        <f t="shared" si="153"/>
        <v>-52.2</v>
      </c>
      <c r="I148" s="19">
        <f t="shared" si="153"/>
        <v>-24.400000000000077</v>
      </c>
      <c r="J148" s="19">
        <f t="shared" si="153"/>
        <v>-3.099999999999966</v>
      </c>
      <c r="K148" s="19">
        <f t="shared" si="153"/>
        <v>-100</v>
      </c>
      <c r="L148" s="19">
        <f t="shared" si="153"/>
        <v>-51</v>
      </c>
      <c r="M148" s="19">
        <f t="shared" si="153"/>
        <v>-239.8</v>
      </c>
      <c r="N148" s="19">
        <f t="shared" si="153"/>
        <v>499</v>
      </c>
      <c r="O148" s="19">
        <f t="shared" si="153"/>
        <v>482</v>
      </c>
      <c r="P148" s="19">
        <f t="shared" si="153"/>
        <v>996</v>
      </c>
      <c r="Q148" s="19">
        <f t="shared" si="153"/>
        <v>5184</v>
      </c>
      <c r="R148" s="19">
        <f t="shared" si="153"/>
        <v>-689</v>
      </c>
      <c r="S148" s="19">
        <f aca="true" t="shared" si="154" ref="S148:AH148">S131+S133+S144+S146</f>
        <v>2784</v>
      </c>
      <c r="T148" s="19">
        <f t="shared" si="154"/>
        <v>1831</v>
      </c>
      <c r="U148" s="19">
        <f t="shared" si="154"/>
        <v>-169</v>
      </c>
      <c r="V148" s="19">
        <f t="shared" si="154"/>
        <v>3643</v>
      </c>
      <c r="W148" s="19">
        <f t="shared" si="154"/>
        <v>-3590</v>
      </c>
      <c r="X148" s="19">
        <f t="shared" si="154"/>
        <v>-2501</v>
      </c>
      <c r="Y148" s="19">
        <f t="shared" si="154"/>
        <v>574</v>
      </c>
      <c r="Z148" s="19">
        <f t="shared" si="154"/>
        <v>-1234</v>
      </c>
      <c r="AA148" s="19">
        <f t="shared" si="154"/>
        <v>-4837</v>
      </c>
      <c r="AB148" s="19">
        <f t="shared" si="154"/>
        <v>1012</v>
      </c>
      <c r="AC148" s="19">
        <f t="shared" si="154"/>
        <v>-1172</v>
      </c>
      <c r="AD148" s="19">
        <f t="shared" si="154"/>
        <v>-191</v>
      </c>
      <c r="AE148" s="19">
        <f t="shared" si="154"/>
        <v>-956</v>
      </c>
      <c r="AF148" s="19">
        <f t="shared" si="154"/>
        <v>2329</v>
      </c>
      <c r="AG148" s="19">
        <f t="shared" si="154"/>
        <v>-300</v>
      </c>
      <c r="AH148" s="19">
        <f t="shared" si="154"/>
        <v>-2097</v>
      </c>
      <c r="AI148" s="19">
        <f aca="true" t="shared" si="155" ref="AI148:AQ148">AI131+AI133+AI144+AI146</f>
        <v>-166</v>
      </c>
      <c r="AJ148" s="19">
        <f t="shared" si="155"/>
        <v>232</v>
      </c>
      <c r="AK148" s="19">
        <f t="shared" si="155"/>
        <v>921</v>
      </c>
      <c r="AL148" s="19">
        <f t="shared" si="155"/>
        <v>2868</v>
      </c>
      <c r="AM148" s="19">
        <f t="shared" si="155"/>
        <v>2346</v>
      </c>
      <c r="AN148" s="19">
        <f t="shared" si="155"/>
        <v>-3705</v>
      </c>
      <c r="AO148" s="19">
        <f t="shared" si="155"/>
        <v>-1572</v>
      </c>
      <c r="AP148" s="19">
        <f t="shared" si="155"/>
        <v>1845</v>
      </c>
      <c r="AQ148" s="19">
        <f t="shared" si="155"/>
        <v>6529</v>
      </c>
      <c r="AR148" s="19">
        <f>AR131+AR133+AR144+AR146</f>
        <v>4760</v>
      </c>
      <c r="AS148" s="19">
        <f>AS131+AS133+AS144+AS146</f>
        <v>12377</v>
      </c>
      <c r="AT148" s="19">
        <f>AT131+AT133+AT144+AT146</f>
        <v>13276</v>
      </c>
      <c r="AU148" s="19" t="e">
        <f>AU131+AU133+AU144+AU146</f>
        <v>#VALUE!</v>
      </c>
    </row>
    <row r="149" s="19" customFormat="1" ht="15">
      <c r="A149" s="53"/>
    </row>
    <row r="150" s="19" customFormat="1" ht="15">
      <c r="A150" s="53"/>
    </row>
    <row r="151" spans="1:46" s="1" customFormat="1" ht="12" customHeight="1">
      <c r="A151" s="3" t="s">
        <v>68</v>
      </c>
      <c r="K151" s="1">
        <f>405-819+(9-3)+(90-5)+(15-3)+(475-112)-152</f>
        <v>-100</v>
      </c>
      <c r="L151" s="1">
        <f>489-980+(9-3)+(185-11)+(23-6)+(542-161)+21-159</f>
        <v>-51</v>
      </c>
      <c r="M151" s="1">
        <f>788-1225+(9-4)+(35-8)+(44-7)+(632-256)+20-248</f>
        <v>-220</v>
      </c>
      <c r="N151" s="1">
        <f>1563-1539+(9-4)+(190-9)+(41-5)+(958-327)+20-398</f>
        <v>499</v>
      </c>
      <c r="O151" s="1">
        <f>1499-1770+(9-4)+(139-14)+(31-40)+(990-467)+109</f>
        <v>482</v>
      </c>
      <c r="P151" s="1">
        <v>996</v>
      </c>
      <c r="Q151" s="1">
        <v>5184</v>
      </c>
      <c r="R151" s="1">
        <v>-689</v>
      </c>
      <c r="S151" s="1">
        <v>2784</v>
      </c>
      <c r="T151" s="1">
        <v>1831</v>
      </c>
      <c r="U151" s="1">
        <f>-169</f>
        <v>-169</v>
      </c>
      <c r="V151" s="1">
        <f>12784-6974+85-1894-358</f>
        <v>3643</v>
      </c>
      <c r="W151" s="1">
        <v>-3590</v>
      </c>
      <c r="X151" s="1">
        <v>-2501</v>
      </c>
      <c r="Y151" s="1">
        <v>574</v>
      </c>
      <c r="Z151" s="1">
        <f>-2098+864</f>
        <v>-1234</v>
      </c>
      <c r="AA151" s="1">
        <f>-3177-1660</f>
        <v>-4837</v>
      </c>
      <c r="AB151" s="1">
        <f>66+946</f>
        <v>1012</v>
      </c>
      <c r="AC151" s="1">
        <f>-2025+853</f>
        <v>-1172</v>
      </c>
      <c r="AD151" s="1">
        <f>-384+193</f>
        <v>-191</v>
      </c>
      <c r="AE151" s="1">
        <v>-956</v>
      </c>
      <c r="AF151" s="1">
        <v>2329</v>
      </c>
      <c r="AG151" s="1">
        <v>-300</v>
      </c>
      <c r="AH151" s="1">
        <v>-2097</v>
      </c>
      <c r="AI151" s="1">
        <v>-166</v>
      </c>
      <c r="AJ151" s="1">
        <v>232</v>
      </c>
      <c r="AK151" s="1">
        <v>921</v>
      </c>
      <c r="AL151" s="1">
        <v>2868</v>
      </c>
      <c r="AM151" s="1">
        <v>2346</v>
      </c>
      <c r="AN151" s="1">
        <v>-3705</v>
      </c>
      <c r="AO151" s="1">
        <v>-1572</v>
      </c>
      <c r="AP151" s="1">
        <v>1845</v>
      </c>
      <c r="AQ151" s="1">
        <v>6529</v>
      </c>
      <c r="AR151" s="1">
        <v>4760</v>
      </c>
      <c r="AS151" s="1">
        <v>4667</v>
      </c>
      <c r="AT151" s="1">
        <v>3521</v>
      </c>
    </row>
    <row r="152" spans="1:47" s="1" customFormat="1" ht="12.75">
      <c r="A152" s="3" t="s">
        <v>69</v>
      </c>
      <c r="B152" s="1">
        <f>B148-B151</f>
        <v>-30.000000000000018</v>
      </c>
      <c r="C152" s="1">
        <f aca="true" t="shared" si="156" ref="C152:R152">C148-C151</f>
        <v>-55.39999999999995</v>
      </c>
      <c r="D152" s="1">
        <f t="shared" si="156"/>
        <v>61.399999999999984</v>
      </c>
      <c r="E152" s="1">
        <f t="shared" si="156"/>
        <v>30.299999999999947</v>
      </c>
      <c r="F152" s="1">
        <f t="shared" si="156"/>
        <v>30.600000000000072</v>
      </c>
      <c r="G152" s="1">
        <f t="shared" si="156"/>
        <v>95.39999999999996</v>
      </c>
      <c r="H152" s="1">
        <f t="shared" si="156"/>
        <v>-52.2</v>
      </c>
      <c r="I152" s="1">
        <f t="shared" si="156"/>
        <v>-24.400000000000077</v>
      </c>
      <c r="J152" s="1">
        <f t="shared" si="156"/>
        <v>-3.099999999999966</v>
      </c>
      <c r="K152" s="57">
        <f t="shared" si="156"/>
        <v>0</v>
      </c>
      <c r="L152" s="57">
        <f t="shared" si="156"/>
        <v>0</v>
      </c>
      <c r="M152" s="57">
        <f t="shared" si="156"/>
        <v>-19.80000000000001</v>
      </c>
      <c r="N152" s="57">
        <f t="shared" si="156"/>
        <v>0</v>
      </c>
      <c r="O152" s="57">
        <f t="shared" si="156"/>
        <v>0</v>
      </c>
      <c r="P152" s="57">
        <f t="shared" si="156"/>
        <v>0</v>
      </c>
      <c r="Q152" s="57">
        <f t="shared" si="156"/>
        <v>0</v>
      </c>
      <c r="R152" s="57">
        <f t="shared" si="156"/>
        <v>0</v>
      </c>
      <c r="S152" s="57">
        <f aca="true" t="shared" si="157" ref="S152:AH152">S148-S151</f>
        <v>0</v>
      </c>
      <c r="T152" s="57">
        <f t="shared" si="157"/>
        <v>0</v>
      </c>
      <c r="U152" s="57">
        <f t="shared" si="157"/>
        <v>0</v>
      </c>
      <c r="V152" s="57">
        <f t="shared" si="157"/>
        <v>0</v>
      </c>
      <c r="W152" s="57">
        <f t="shared" si="157"/>
        <v>0</v>
      </c>
      <c r="X152" s="57">
        <f t="shared" si="157"/>
        <v>0</v>
      </c>
      <c r="Y152" s="57">
        <f t="shared" si="157"/>
        <v>0</v>
      </c>
      <c r="Z152" s="57">
        <f t="shared" si="157"/>
        <v>0</v>
      </c>
      <c r="AA152" s="57">
        <f t="shared" si="157"/>
        <v>0</v>
      </c>
      <c r="AB152" s="57">
        <f t="shared" si="157"/>
        <v>0</v>
      </c>
      <c r="AC152" s="57">
        <f t="shared" si="157"/>
        <v>0</v>
      </c>
      <c r="AD152" s="57">
        <f t="shared" si="157"/>
        <v>0</v>
      </c>
      <c r="AE152" s="1">
        <f t="shared" si="157"/>
        <v>0</v>
      </c>
      <c r="AF152" s="1">
        <f t="shared" si="157"/>
        <v>0</v>
      </c>
      <c r="AG152" s="1">
        <f t="shared" si="157"/>
        <v>0</v>
      </c>
      <c r="AH152" s="1">
        <f t="shared" si="157"/>
        <v>0</v>
      </c>
      <c r="AI152" s="1">
        <f aca="true" t="shared" si="158" ref="AI152:AQ152">AI148-AI151</f>
        <v>0</v>
      </c>
      <c r="AJ152" s="1">
        <f t="shared" si="158"/>
        <v>0</v>
      </c>
      <c r="AK152" s="84">
        <f>AK148-AK151</f>
        <v>0</v>
      </c>
      <c r="AL152" s="1">
        <f t="shared" si="158"/>
        <v>0</v>
      </c>
      <c r="AM152" s="1">
        <f t="shared" si="158"/>
        <v>0</v>
      </c>
      <c r="AN152" s="1">
        <f t="shared" si="158"/>
        <v>0</v>
      </c>
      <c r="AO152" s="1">
        <f t="shared" si="158"/>
        <v>0</v>
      </c>
      <c r="AP152" s="1">
        <f t="shared" si="158"/>
        <v>0</v>
      </c>
      <c r="AQ152" s="1">
        <f t="shared" si="158"/>
        <v>0</v>
      </c>
      <c r="AR152" s="1">
        <f>AR148-AR151</f>
        <v>0</v>
      </c>
      <c r="AS152" s="1">
        <f>AS148-AS151</f>
        <v>7710</v>
      </c>
      <c r="AT152" s="1">
        <f>AT148-AT151</f>
        <v>9755</v>
      </c>
      <c r="AU152" s="1" t="e">
        <f>AU148-AU151</f>
        <v>#VALUE!</v>
      </c>
    </row>
    <row r="153" spans="1:44" s="62" customFormat="1" ht="12.75">
      <c r="A153" s="61" t="s">
        <v>70</v>
      </c>
      <c r="B153" s="62" t="s">
        <v>71</v>
      </c>
      <c r="C153" s="62" t="s">
        <v>71</v>
      </c>
      <c r="D153" s="62" t="s">
        <v>71</v>
      </c>
      <c r="E153" s="62" t="s">
        <v>71</v>
      </c>
      <c r="F153" s="62" t="s">
        <v>71</v>
      </c>
      <c r="G153" s="62" t="s">
        <v>71</v>
      </c>
      <c r="H153" s="62" t="s">
        <v>71</v>
      </c>
      <c r="I153" s="62" t="s">
        <v>71</v>
      </c>
      <c r="J153" s="62" t="s">
        <v>71</v>
      </c>
      <c r="K153" s="62" t="s">
        <v>72</v>
      </c>
      <c r="L153" s="62" t="s">
        <v>72</v>
      </c>
      <c r="M153" s="62" t="s">
        <v>72</v>
      </c>
      <c r="N153" s="62" t="s">
        <v>72</v>
      </c>
      <c r="O153" s="62" t="s">
        <v>72</v>
      </c>
      <c r="P153" s="62" t="s">
        <v>73</v>
      </c>
      <c r="Q153" s="62" t="s">
        <v>73</v>
      </c>
      <c r="R153" s="62" t="s">
        <v>73</v>
      </c>
      <c r="S153" s="62" t="s">
        <v>73</v>
      </c>
      <c r="T153" s="62" t="s">
        <v>73</v>
      </c>
      <c r="U153" s="62" t="s">
        <v>74</v>
      </c>
      <c r="V153" s="62" t="s">
        <v>75</v>
      </c>
      <c r="W153" s="62" t="s">
        <v>76</v>
      </c>
      <c r="X153" s="62" t="s">
        <v>77</v>
      </c>
      <c r="Y153" s="62" t="s">
        <v>77</v>
      </c>
      <c r="Z153" s="62" t="s">
        <v>78</v>
      </c>
      <c r="AA153" s="62" t="s">
        <v>79</v>
      </c>
      <c r="AB153" s="62" t="s">
        <v>80</v>
      </c>
      <c r="AC153" s="62" t="s">
        <v>81</v>
      </c>
      <c r="AD153" s="62" t="s">
        <v>82</v>
      </c>
      <c r="AE153" s="63" t="s">
        <v>83</v>
      </c>
      <c r="AF153" s="63" t="s">
        <v>83</v>
      </c>
      <c r="AG153" s="63" t="s">
        <v>84</v>
      </c>
      <c r="AH153" s="63" t="s">
        <v>84</v>
      </c>
      <c r="AI153" s="63" t="s">
        <v>84</v>
      </c>
      <c r="AJ153" s="63" t="s">
        <v>84</v>
      </c>
      <c r="AK153" s="62" t="s">
        <v>85</v>
      </c>
      <c r="AL153" s="62" t="s">
        <v>85</v>
      </c>
      <c r="AM153" s="62" t="s">
        <v>85</v>
      </c>
      <c r="AN153" s="62" t="s">
        <v>85</v>
      </c>
      <c r="AO153" s="62" t="s">
        <v>284</v>
      </c>
      <c r="AP153" s="62" t="s">
        <v>284</v>
      </c>
      <c r="AQ153" s="62" t="s">
        <v>284</v>
      </c>
      <c r="AR153" s="62" t="s">
        <v>284</v>
      </c>
    </row>
    <row r="154" spans="1:37" s="62" customFormat="1" ht="12.75">
      <c r="A154" s="61"/>
      <c r="AE154" s="63"/>
      <c r="AF154" s="63"/>
      <c r="AG154" s="63"/>
      <c r="AH154" s="63"/>
      <c r="AI154" s="63"/>
      <c r="AJ154" s="63"/>
      <c r="AK154" s="68"/>
    </row>
    <row r="155" spans="1:38" s="62" customFormat="1" ht="12.75">
      <c r="A155" s="61" t="s">
        <v>86</v>
      </c>
      <c r="B155" s="62">
        <v>1.106</v>
      </c>
      <c r="C155" s="62">
        <v>1.107</v>
      </c>
      <c r="D155" s="62">
        <v>1.106</v>
      </c>
      <c r="E155" s="62">
        <v>1.104</v>
      </c>
      <c r="F155" s="62">
        <v>1.104</v>
      </c>
      <c r="G155" s="62">
        <v>1.103</v>
      </c>
      <c r="H155" s="62">
        <v>1.103</v>
      </c>
      <c r="I155" s="62">
        <v>1.104</v>
      </c>
      <c r="J155" s="62">
        <v>1.109</v>
      </c>
      <c r="K155" s="62">
        <v>1.11</v>
      </c>
      <c r="L155" s="62">
        <v>1.109</v>
      </c>
      <c r="M155" s="62">
        <v>1.108</v>
      </c>
      <c r="N155" s="62">
        <v>1.111</v>
      </c>
      <c r="O155" s="62">
        <v>1.112</v>
      </c>
      <c r="P155" s="62">
        <v>1.11</v>
      </c>
      <c r="Q155" s="62">
        <v>1.127</v>
      </c>
      <c r="R155" s="62">
        <v>1.136</v>
      </c>
      <c r="S155" s="62">
        <v>1.139</v>
      </c>
      <c r="T155" s="62">
        <v>1.131</v>
      </c>
      <c r="U155" s="62">
        <v>1.133</v>
      </c>
      <c r="V155" s="62">
        <v>1.128</v>
      </c>
      <c r="W155" s="62">
        <v>1.124</v>
      </c>
      <c r="X155" s="62">
        <v>1.125</v>
      </c>
      <c r="Y155" s="62">
        <v>1.129</v>
      </c>
      <c r="Z155" s="62">
        <v>1.132</v>
      </c>
      <c r="AA155" s="62">
        <v>1.128</v>
      </c>
      <c r="AB155" s="62">
        <v>1.105</v>
      </c>
      <c r="AC155" s="62">
        <v>1.104</v>
      </c>
      <c r="AD155" s="62">
        <v>1.101</v>
      </c>
      <c r="AE155" s="62">
        <v>1.102</v>
      </c>
      <c r="AF155" s="62">
        <v>1.104</v>
      </c>
      <c r="AG155" s="62">
        <v>1.103</v>
      </c>
      <c r="AH155" s="62">
        <v>1.104</v>
      </c>
      <c r="AI155" s="62">
        <v>1.105</v>
      </c>
      <c r="AJ155" s="62">
        <v>1.106</v>
      </c>
      <c r="AK155" s="62">
        <v>1.106</v>
      </c>
      <c r="AL155" s="62">
        <v>1.106</v>
      </c>
    </row>
    <row r="156" spans="1:44" s="62" customFormat="1" ht="12.75">
      <c r="A156" s="61"/>
      <c r="B156" s="62" t="e">
        <f aca="true" t="shared" si="159" ref="B156:Q156">1+B114/B97</f>
        <v>#N/A</v>
      </c>
      <c r="C156" s="62" t="e">
        <f t="shared" si="159"/>
        <v>#N/A</v>
      </c>
      <c r="D156" s="62" t="e">
        <f t="shared" si="159"/>
        <v>#N/A</v>
      </c>
      <c r="E156" s="62" t="e">
        <f t="shared" si="159"/>
        <v>#N/A</v>
      </c>
      <c r="F156" s="62" t="e">
        <f t="shared" si="159"/>
        <v>#N/A</v>
      </c>
      <c r="G156" s="62" t="e">
        <f t="shared" si="159"/>
        <v>#N/A</v>
      </c>
      <c r="H156" s="62" t="e">
        <f t="shared" si="159"/>
        <v>#N/A</v>
      </c>
      <c r="I156" s="62" t="e">
        <f t="shared" si="159"/>
        <v>#N/A</v>
      </c>
      <c r="J156" s="62" t="e">
        <f t="shared" si="159"/>
        <v>#N/A</v>
      </c>
      <c r="K156" s="62">
        <f t="shared" si="159"/>
        <v>0.9993403693931399</v>
      </c>
      <c r="L156" s="62">
        <f t="shared" si="159"/>
        <v>0.9994249568717654</v>
      </c>
      <c r="M156" s="62">
        <f t="shared" si="159"/>
        <v>0.999479979199168</v>
      </c>
      <c r="N156" s="62">
        <f t="shared" si="159"/>
        <v>0.9995975855130784</v>
      </c>
      <c r="O156" s="62">
        <f t="shared" si="159"/>
        <v>0.9996839443742098</v>
      </c>
      <c r="P156" s="62">
        <f t="shared" si="159"/>
        <v>0.9997911445279867</v>
      </c>
      <c r="Q156" s="62">
        <f t="shared" si="159"/>
        <v>0.9997849231100119</v>
      </c>
      <c r="R156" s="62">
        <f aca="true" t="shared" si="160" ref="R156:AG156">1+R114/R97</f>
        <v>0.9998698086186695</v>
      </c>
      <c r="S156" s="62">
        <f t="shared" si="160"/>
        <v>0.9998776459072556</v>
      </c>
      <c r="T156" s="62">
        <f t="shared" si="160"/>
        <v>0.999836903338045</v>
      </c>
      <c r="U156" s="177">
        <f t="shared" si="160"/>
        <v>1</v>
      </c>
      <c r="V156" s="177">
        <f t="shared" si="160"/>
        <v>1</v>
      </c>
      <c r="W156" s="177">
        <f t="shared" si="160"/>
        <v>1</v>
      </c>
      <c r="X156" s="177">
        <f t="shared" si="160"/>
        <v>1</v>
      </c>
      <c r="Y156" s="177">
        <f t="shared" si="160"/>
        <v>1</v>
      </c>
      <c r="Z156" s="177">
        <f t="shared" si="160"/>
        <v>1</v>
      </c>
      <c r="AA156" s="177">
        <f t="shared" si="160"/>
        <v>1</v>
      </c>
      <c r="AB156" s="177">
        <f t="shared" si="160"/>
        <v>1</v>
      </c>
      <c r="AC156" s="177">
        <f t="shared" si="160"/>
        <v>1</v>
      </c>
      <c r="AD156" s="177">
        <f t="shared" si="160"/>
        <v>1</v>
      </c>
      <c r="AE156" s="62">
        <f t="shared" si="160"/>
        <v>1.1025641025641026</v>
      </c>
      <c r="AF156" s="62">
        <f t="shared" si="160"/>
        <v>1.100089232599643</v>
      </c>
      <c r="AG156" s="62">
        <f t="shared" si="160"/>
        <v>1.1086743044189853</v>
      </c>
      <c r="AH156" s="62">
        <f>1+AH114/AH97</f>
        <v>1.1086542278682017</v>
      </c>
      <c r="AI156" s="62">
        <f>1+AI114/AI97</f>
        <v>1.1111111111111112</v>
      </c>
      <c r="AJ156" s="62">
        <f>1+AJ114/AJ97</f>
        <v>1.1109555659252346</v>
      </c>
      <c r="AK156" s="62">
        <f>1+AK114/AK97</f>
        <v>1.0917016723468336</v>
      </c>
      <c r="AL156" s="62">
        <f>1+AL114/AL97</f>
        <v>1.0867386879599186</v>
      </c>
      <c r="AM156" s="62">
        <f aca="true" t="shared" si="161" ref="AM156:AR156">1+AM114/AM97</f>
        <v>1.1112816065114417</v>
      </c>
      <c r="AN156" s="62">
        <f t="shared" si="161"/>
        <v>1.1097500531048645</v>
      </c>
      <c r="AO156" s="62">
        <f t="shared" si="161"/>
        <v>1.119767604647907</v>
      </c>
      <c r="AP156" s="62">
        <f t="shared" si="161"/>
        <v>1.092309982877987</v>
      </c>
      <c r="AQ156" s="62">
        <f t="shared" si="161"/>
        <v>1.08928808166512</v>
      </c>
      <c r="AR156" s="62">
        <f t="shared" si="161"/>
        <v>1.0848916101274202</v>
      </c>
    </row>
    <row r="157" spans="1:47" s="62" customFormat="1" ht="12.75">
      <c r="A157" s="61"/>
      <c r="AE157" s="63"/>
      <c r="AF157" s="63"/>
      <c r="AG157" s="63"/>
      <c r="AH157" s="63"/>
      <c r="AI157" s="63"/>
      <c r="AJ157" s="63"/>
      <c r="AK157" s="68"/>
      <c r="AS157" s="62">
        <f>63267.9*1000/8018.94</f>
        <v>7889.808378663514</v>
      </c>
      <c r="AT157" s="62">
        <f>63267.9*1000/8018.94</f>
        <v>7889.808378663514</v>
      </c>
      <c r="AU157" s="62">
        <f>63267.9*1000/8018.94</f>
        <v>7889.808378663514</v>
      </c>
    </row>
    <row r="158" spans="1:47" s="62" customFormat="1" ht="12.75">
      <c r="A158" s="61"/>
      <c r="B158" s="62">
        <f aca="true" t="shared" si="162" ref="B158:AQ158">C158-B148</f>
        <v>-7427.991621336486</v>
      </c>
      <c r="C158" s="62">
        <f t="shared" si="162"/>
        <v>-7457.991621336486</v>
      </c>
      <c r="D158" s="62">
        <f t="shared" si="162"/>
        <v>-7513.3916213364855</v>
      </c>
      <c r="E158" s="62">
        <f t="shared" si="162"/>
        <v>-7451.991621336486</v>
      </c>
      <c r="F158" s="62">
        <f t="shared" si="162"/>
        <v>-7421.691621336486</v>
      </c>
      <c r="G158" s="62">
        <f t="shared" si="162"/>
        <v>-7391.091621336485</v>
      </c>
      <c r="H158" s="62">
        <f t="shared" si="162"/>
        <v>-7295.691621336486</v>
      </c>
      <c r="I158" s="62">
        <f t="shared" si="162"/>
        <v>-7347.8916213364855</v>
      </c>
      <c r="J158" s="62">
        <f t="shared" si="162"/>
        <v>-7372.291621336485</v>
      </c>
      <c r="K158" s="62">
        <f t="shared" si="162"/>
        <v>-7375.3916213364855</v>
      </c>
      <c r="L158" s="62">
        <f t="shared" si="162"/>
        <v>-7475.3916213364855</v>
      </c>
      <c r="M158" s="62">
        <f t="shared" si="162"/>
        <v>-7526.3916213364855</v>
      </c>
      <c r="N158" s="62">
        <f t="shared" si="162"/>
        <v>-7766.191621336486</v>
      </c>
      <c r="O158" s="62">
        <f t="shared" si="162"/>
        <v>-7267.191621336486</v>
      </c>
      <c r="P158" s="62">
        <f t="shared" si="162"/>
        <v>-6785.191621336486</v>
      </c>
      <c r="Q158" s="62">
        <f t="shared" si="162"/>
        <v>-5789.191621336486</v>
      </c>
      <c r="R158" s="62">
        <f t="shared" si="162"/>
        <v>-605.1916213364857</v>
      </c>
      <c r="S158" s="62">
        <f t="shared" si="162"/>
        <v>-1294.1916213364857</v>
      </c>
      <c r="T158" s="62">
        <f t="shared" si="162"/>
        <v>1489.8083786635143</v>
      </c>
      <c r="U158" s="62">
        <f t="shared" si="162"/>
        <v>3320.8083786635143</v>
      </c>
      <c r="V158" s="62">
        <f t="shared" si="162"/>
        <v>3151.8083786635143</v>
      </c>
      <c r="W158" s="62">
        <f t="shared" si="162"/>
        <v>6794.808378663514</v>
      </c>
      <c r="X158" s="62">
        <f t="shared" si="162"/>
        <v>3204.8083786635143</v>
      </c>
      <c r="Y158" s="62">
        <f t="shared" si="162"/>
        <v>703.8083786635143</v>
      </c>
      <c r="Z158" s="62">
        <f t="shared" si="162"/>
        <v>1277.8083786635143</v>
      </c>
      <c r="AA158" s="62">
        <f t="shared" si="162"/>
        <v>43.808378663514304</v>
      </c>
      <c r="AB158" s="62">
        <f t="shared" si="162"/>
        <v>-4793.191621336486</v>
      </c>
      <c r="AC158" s="62">
        <f t="shared" si="162"/>
        <v>-3781.1916213364857</v>
      </c>
      <c r="AD158" s="62">
        <f t="shared" si="162"/>
        <v>-4953.191621336486</v>
      </c>
      <c r="AE158" s="62">
        <f t="shared" si="162"/>
        <v>-5144.191621336486</v>
      </c>
      <c r="AF158" s="62">
        <f t="shared" si="162"/>
        <v>-6100.191621336486</v>
      </c>
      <c r="AG158" s="62">
        <f t="shared" si="162"/>
        <v>-3771.1916213364857</v>
      </c>
      <c r="AH158" s="62">
        <f t="shared" si="162"/>
        <v>-4071.1916213364857</v>
      </c>
      <c r="AI158" s="62">
        <f t="shared" si="162"/>
        <v>-6168.191621336486</v>
      </c>
      <c r="AJ158" s="62">
        <f t="shared" si="162"/>
        <v>-6334.191621336486</v>
      </c>
      <c r="AK158" s="62">
        <f t="shared" si="162"/>
        <v>-6102.191621336486</v>
      </c>
      <c r="AL158" s="62">
        <f t="shared" si="162"/>
        <v>-5181.191621336486</v>
      </c>
      <c r="AM158" s="62">
        <f t="shared" si="162"/>
        <v>-2313.1916213364857</v>
      </c>
      <c r="AN158" s="62">
        <f t="shared" si="162"/>
        <v>32.808378663514304</v>
      </c>
      <c r="AO158" s="62">
        <f t="shared" si="162"/>
        <v>-3672.1916213364857</v>
      </c>
      <c r="AP158" s="62">
        <f t="shared" si="162"/>
        <v>-5244.191621336486</v>
      </c>
      <c r="AQ158" s="62">
        <f t="shared" si="162"/>
        <v>-3399.1916213364857</v>
      </c>
      <c r="AR158" s="62">
        <f>AS158-AR148</f>
        <v>3129.8083786635143</v>
      </c>
      <c r="AS158" s="62">
        <f>AS157</f>
        <v>7889.808378663514</v>
      </c>
      <c r="AT158" s="62">
        <f>AT157</f>
        <v>7889.808378663514</v>
      </c>
      <c r="AU158" s="62">
        <f>AU157</f>
        <v>7889.808378663514</v>
      </c>
    </row>
    <row r="159" spans="1:47" s="2" customFormat="1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</row>
    <row r="160" s="91" customFormat="1" ht="10.5" customHeight="1">
      <c r="A160" s="90"/>
    </row>
    <row r="161" spans="1:30" s="2" customFormat="1" ht="13.5" customHeight="1">
      <c r="A161" s="26" t="s">
        <v>87</v>
      </c>
      <c r="I161" s="18"/>
      <c r="AD161" s="24"/>
    </row>
    <row r="162" s="2" customFormat="1" ht="12.75">
      <c r="A162"/>
    </row>
    <row r="163" spans="1:47" s="7" customFormat="1" ht="12.75">
      <c r="A163" s="13" t="s">
        <v>88</v>
      </c>
      <c r="B163" s="173">
        <f aca="true" t="shared" si="163" ref="B163:Q163">B164+B165+B169+B170+B171+B172+B173+B174+B175</f>
        <v>94.1</v>
      </c>
      <c r="C163" s="173">
        <f t="shared" si="163"/>
        <v>101.69999999999999</v>
      </c>
      <c r="D163" s="173">
        <f t="shared" si="163"/>
        <v>113.19999999999999</v>
      </c>
      <c r="E163" s="173">
        <f t="shared" si="163"/>
        <v>101</v>
      </c>
      <c r="F163" s="173">
        <f t="shared" si="163"/>
        <v>115.80000000000001</v>
      </c>
      <c r="G163" s="173">
        <f t="shared" si="163"/>
        <v>131.8</v>
      </c>
      <c r="H163" s="173">
        <f t="shared" si="163"/>
        <v>160.4</v>
      </c>
      <c r="I163" s="173">
        <f t="shared" si="163"/>
        <v>137.1</v>
      </c>
      <c r="J163" s="173">
        <f t="shared" si="163"/>
        <v>153.70000000000002</v>
      </c>
      <c r="K163" s="173">
        <f t="shared" si="163"/>
        <v>184.90000000000003</v>
      </c>
      <c r="L163" s="173">
        <f t="shared" si="163"/>
        <v>201.79999999999995</v>
      </c>
      <c r="M163" s="173">
        <f t="shared" si="163"/>
        <v>207.1</v>
      </c>
      <c r="N163" s="173">
        <f t="shared" si="163"/>
        <v>256.4</v>
      </c>
      <c r="O163" s="173">
        <f t="shared" si="163"/>
        <v>318</v>
      </c>
      <c r="P163" s="173">
        <f t="shared" si="163"/>
        <v>505.1</v>
      </c>
      <c r="Q163" s="173">
        <f t="shared" si="163"/>
        <v>385.59999999999997</v>
      </c>
      <c r="R163" s="173">
        <f aca="true" t="shared" si="164" ref="R163:AG163">R164+R165+R169+R170+R171+R172+R173+R174+R175</f>
        <v>413.7</v>
      </c>
      <c r="S163" s="173">
        <f t="shared" si="164"/>
        <v>377.09999999999997</v>
      </c>
      <c r="T163" s="173">
        <f t="shared" si="164"/>
        <v>443</v>
      </c>
      <c r="U163" s="173">
        <f t="shared" si="164"/>
        <v>368.90000000000003</v>
      </c>
      <c r="V163" s="173">
        <f t="shared" si="164"/>
        <v>724.8</v>
      </c>
      <c r="W163" s="173">
        <f t="shared" si="164"/>
        <v>601.6999999999999</v>
      </c>
      <c r="X163" s="173">
        <f t="shared" si="164"/>
        <v>321.3</v>
      </c>
      <c r="Y163" s="173">
        <f t="shared" si="164"/>
        <v>255.30000000000004</v>
      </c>
      <c r="Z163" s="173">
        <f t="shared" si="164"/>
        <v>318.1000000000001</v>
      </c>
      <c r="AA163" s="173">
        <f t="shared" si="164"/>
        <v>295.1</v>
      </c>
      <c r="AB163" s="173">
        <f t="shared" si="164"/>
        <v>371.00000000000006</v>
      </c>
      <c r="AC163" s="173">
        <f t="shared" si="164"/>
        <v>780.7000000000003</v>
      </c>
      <c r="AD163" s="173">
        <f t="shared" si="164"/>
        <v>990.6999999999999</v>
      </c>
      <c r="AE163" s="173">
        <f t="shared" si="164"/>
        <v>770.3000000000001</v>
      </c>
      <c r="AF163" s="173">
        <f t="shared" si="164"/>
        <v>894.4</v>
      </c>
      <c r="AG163" s="173">
        <f t="shared" si="164"/>
        <v>1038.4</v>
      </c>
      <c r="AH163" s="173">
        <f aca="true" t="shared" si="165" ref="AH163:AS163">AH164+AH165+AH169+AH170+AH171+AH172+AH173+AH174+AH175</f>
        <v>1937.4</v>
      </c>
      <c r="AI163" s="173">
        <f t="shared" si="165"/>
        <v>1995.5999999999995</v>
      </c>
      <c r="AJ163" s="173">
        <f t="shared" si="165"/>
        <v>2516.1000000000004</v>
      </c>
      <c r="AK163" s="173">
        <f t="shared" si="165"/>
        <v>3258.5999999999995</v>
      </c>
      <c r="AL163" s="173">
        <f t="shared" si="165"/>
        <v>1900.9999999999998</v>
      </c>
      <c r="AM163" s="173">
        <f t="shared" si="165"/>
        <v>1645.8000000000002</v>
      </c>
      <c r="AN163" s="173">
        <f t="shared" si="165"/>
        <v>1250.7</v>
      </c>
      <c r="AO163" s="173">
        <f t="shared" si="165"/>
        <v>1412.3</v>
      </c>
      <c r="AP163" s="173">
        <f t="shared" si="165"/>
        <v>1477.9999999999998</v>
      </c>
      <c r="AQ163" s="173">
        <f t="shared" si="165"/>
        <v>1374.5</v>
      </c>
      <c r="AR163" s="173">
        <f t="shared" si="165"/>
        <v>1296.0000000000002</v>
      </c>
      <c r="AS163" s="173">
        <f t="shared" si="165"/>
        <v>0</v>
      </c>
      <c r="AT163" s="173">
        <f>AT164+AT165+AT169+AT170+AT171+AT172+AT173+AT174+AT175</f>
        <v>0</v>
      </c>
      <c r="AU163" s="173">
        <f>AU164+AU165+AU169+AU170+AU171+AU172+AU173+AU174+AU175</f>
        <v>0</v>
      </c>
    </row>
    <row r="164" spans="1:47" s="1" customFormat="1" ht="12.75">
      <c r="A164" s="3" t="s">
        <v>89</v>
      </c>
      <c r="B164" s="76">
        <v>20.3</v>
      </c>
      <c r="C164" s="76">
        <v>26.6</v>
      </c>
      <c r="D164" s="76">
        <v>29.2</v>
      </c>
      <c r="E164" s="76">
        <v>22.1</v>
      </c>
      <c r="F164" s="76">
        <v>26.4</v>
      </c>
      <c r="G164" s="76">
        <v>36.4</v>
      </c>
      <c r="H164" s="76">
        <v>45.4</v>
      </c>
      <c r="I164" s="76">
        <v>42.5</v>
      </c>
      <c r="J164" s="76">
        <v>49.6</v>
      </c>
      <c r="K164" s="76">
        <v>59.6</v>
      </c>
      <c r="L164" s="76">
        <v>59.3</v>
      </c>
      <c r="M164" s="76">
        <v>53.9</v>
      </c>
      <c r="N164" s="76">
        <v>75.5</v>
      </c>
      <c r="O164" s="76">
        <v>90.6</v>
      </c>
      <c r="P164" s="76">
        <v>108</v>
      </c>
      <c r="Q164" s="76">
        <v>119.1</v>
      </c>
      <c r="R164" s="76">
        <v>105.6</v>
      </c>
      <c r="S164" s="76">
        <v>94.5</v>
      </c>
      <c r="T164" s="106">
        <v>82.8</v>
      </c>
      <c r="U164" s="76">
        <v>83.9</v>
      </c>
      <c r="V164" s="76">
        <v>408.9</v>
      </c>
      <c r="W164" s="76">
        <v>425.1</v>
      </c>
      <c r="X164" s="76">
        <v>149.4</v>
      </c>
      <c r="Y164" s="76">
        <v>67</v>
      </c>
      <c r="Z164" s="76">
        <v>88.9</v>
      </c>
      <c r="AA164" s="76">
        <v>89.8</v>
      </c>
      <c r="AB164" s="76">
        <v>115.1</v>
      </c>
      <c r="AC164" s="76">
        <v>356</v>
      </c>
      <c r="AD164" s="76">
        <v>482.1</v>
      </c>
      <c r="AE164" s="76">
        <v>308.8</v>
      </c>
      <c r="AF164" s="76">
        <v>344.7</v>
      </c>
      <c r="AG164" s="76">
        <v>509.1</v>
      </c>
      <c r="AH164" s="76">
        <v>1161.2</v>
      </c>
      <c r="AI164" s="76">
        <v>1105.6</v>
      </c>
      <c r="AJ164" s="76">
        <v>1384</v>
      </c>
      <c r="AK164" s="76">
        <v>2132.9</v>
      </c>
      <c r="AL164" s="76">
        <v>981.1</v>
      </c>
      <c r="AM164" s="76">
        <v>642.5</v>
      </c>
      <c r="AN164" s="76">
        <v>635.7</v>
      </c>
      <c r="AO164" s="76">
        <v>570.1</v>
      </c>
      <c r="AP164" s="76">
        <v>691.2</v>
      </c>
      <c r="AQ164" s="76">
        <v>619.5</v>
      </c>
      <c r="AR164" s="76">
        <v>552.6</v>
      </c>
      <c r="AS164" s="76"/>
      <c r="AT164" s="76"/>
      <c r="AU164" s="76"/>
    </row>
    <row r="165" spans="1:47" s="1" customFormat="1" ht="12.75">
      <c r="A165" s="3" t="s">
        <v>90</v>
      </c>
      <c r="B165" s="76">
        <v>17.7</v>
      </c>
      <c r="C165" s="76">
        <v>16.4</v>
      </c>
      <c r="D165" s="76">
        <v>23.2</v>
      </c>
      <c r="E165" s="76">
        <v>24.8</v>
      </c>
      <c r="F165" s="76">
        <v>19.2</v>
      </c>
      <c r="G165" s="76">
        <v>19.8</v>
      </c>
      <c r="H165" s="76">
        <v>23</v>
      </c>
      <c r="I165" s="76">
        <v>19.9</v>
      </c>
      <c r="J165" s="76">
        <v>21.4</v>
      </c>
      <c r="K165" s="76">
        <v>22.9</v>
      </c>
      <c r="L165" s="76">
        <v>30</v>
      </c>
      <c r="M165" s="76">
        <v>34.6</v>
      </c>
      <c r="N165" s="76">
        <v>35.5</v>
      </c>
      <c r="O165" s="76">
        <v>57.4</v>
      </c>
      <c r="P165" s="76">
        <v>94.6</v>
      </c>
      <c r="Q165" s="76">
        <v>71.8</v>
      </c>
      <c r="R165" s="76">
        <v>74.7</v>
      </c>
      <c r="S165" s="76">
        <v>70.3</v>
      </c>
      <c r="T165" s="106">
        <v>119.2</v>
      </c>
      <c r="U165" s="76">
        <v>74.9</v>
      </c>
      <c r="V165" s="76">
        <v>114.7</v>
      </c>
      <c r="W165" s="76">
        <v>61.9</v>
      </c>
      <c r="X165" s="76">
        <f aca="true" t="shared" si="166" ref="X165:AL165">X166+X167+X168</f>
        <v>58.400000000000006</v>
      </c>
      <c r="Y165" s="76">
        <f t="shared" si="166"/>
        <v>78.8</v>
      </c>
      <c r="Z165" s="76">
        <f t="shared" si="166"/>
        <v>125.5</v>
      </c>
      <c r="AA165" s="76">
        <f t="shared" si="166"/>
        <v>79.80000000000001</v>
      </c>
      <c r="AB165" s="76">
        <f t="shared" si="166"/>
        <v>113.3</v>
      </c>
      <c r="AC165" s="76">
        <f t="shared" si="166"/>
        <v>272.40000000000003</v>
      </c>
      <c r="AD165" s="76">
        <f t="shared" si="166"/>
        <v>271.7</v>
      </c>
      <c r="AE165" s="76">
        <f t="shared" si="166"/>
        <v>252.6</v>
      </c>
      <c r="AF165" s="76">
        <f t="shared" si="166"/>
        <v>319.09999999999997</v>
      </c>
      <c r="AG165" s="76">
        <f t="shared" si="166"/>
        <v>333</v>
      </c>
      <c r="AH165" s="76">
        <f t="shared" si="166"/>
        <v>531.6</v>
      </c>
      <c r="AI165" s="76">
        <f t="shared" si="166"/>
        <v>577.5999999999999</v>
      </c>
      <c r="AJ165" s="76">
        <f t="shared" si="166"/>
        <v>674.5</v>
      </c>
      <c r="AK165" s="76">
        <f t="shared" si="166"/>
        <v>628.3</v>
      </c>
      <c r="AL165" s="76">
        <f t="shared" si="166"/>
        <v>580</v>
      </c>
      <c r="AM165" s="76">
        <f aca="true" t="shared" si="167" ref="AM165:AS165">AM166+AM167+AM168</f>
        <v>639.2</v>
      </c>
      <c r="AN165" s="76">
        <f t="shared" si="167"/>
        <v>337.5</v>
      </c>
      <c r="AO165" s="76">
        <f t="shared" si="167"/>
        <v>591.9</v>
      </c>
      <c r="AP165" s="76">
        <f t="shared" si="167"/>
        <v>517.3</v>
      </c>
      <c r="AQ165" s="76">
        <v>504.1</v>
      </c>
      <c r="AR165" s="76">
        <v>666.2</v>
      </c>
      <c r="AS165" s="76">
        <f t="shared" si="167"/>
        <v>0</v>
      </c>
      <c r="AT165" s="76">
        <f>AT166+AT167+AT168</f>
        <v>0</v>
      </c>
      <c r="AU165" s="76">
        <f>AU166+AU167+AU168</f>
        <v>0</v>
      </c>
    </row>
    <row r="166" spans="1:47" s="11" customFormat="1" ht="12.75">
      <c r="A166" s="10" t="s">
        <v>91</v>
      </c>
      <c r="B166" s="172" t="s">
        <v>92</v>
      </c>
      <c r="C166" s="172" t="s">
        <v>92</v>
      </c>
      <c r="D166" s="172" t="s">
        <v>92</v>
      </c>
      <c r="E166" s="172" t="s">
        <v>92</v>
      </c>
      <c r="F166" s="172" t="s">
        <v>92</v>
      </c>
      <c r="G166" s="172" t="s">
        <v>92</v>
      </c>
      <c r="H166" s="172" t="s">
        <v>92</v>
      </c>
      <c r="I166" s="172" t="s">
        <v>92</v>
      </c>
      <c r="J166" s="172" t="s">
        <v>92</v>
      </c>
      <c r="K166" s="172" t="s">
        <v>92</v>
      </c>
      <c r="L166" s="172" t="s">
        <v>92</v>
      </c>
      <c r="M166" s="172" t="s">
        <v>92</v>
      </c>
      <c r="N166" s="172" t="s">
        <v>92</v>
      </c>
      <c r="O166" s="172" t="s">
        <v>92</v>
      </c>
      <c r="P166" s="172" t="s">
        <v>92</v>
      </c>
      <c r="Q166" s="172" t="s">
        <v>92</v>
      </c>
      <c r="R166" s="172" t="s">
        <v>92</v>
      </c>
      <c r="S166" s="172" t="s">
        <v>92</v>
      </c>
      <c r="T166" s="172" t="s">
        <v>92</v>
      </c>
      <c r="U166" s="172" t="s">
        <v>92</v>
      </c>
      <c r="V166" s="172" t="s">
        <v>92</v>
      </c>
      <c r="W166" s="172" t="s">
        <v>92</v>
      </c>
      <c r="X166" s="172">
        <v>24.4</v>
      </c>
      <c r="Y166" s="172">
        <v>36.1</v>
      </c>
      <c r="Z166" s="172">
        <v>87.3</v>
      </c>
      <c r="AA166" s="172">
        <v>36.7</v>
      </c>
      <c r="AB166" s="172">
        <v>64.3</v>
      </c>
      <c r="AC166" s="172">
        <v>150.9</v>
      </c>
      <c r="AD166" s="172">
        <v>181.7</v>
      </c>
      <c r="AE166" s="172">
        <v>205.5</v>
      </c>
      <c r="AF166" s="172">
        <v>272.9</v>
      </c>
      <c r="AG166" s="172">
        <v>258</v>
      </c>
      <c r="AH166" s="172">
        <v>355.6</v>
      </c>
      <c r="AI166" s="172">
        <v>400.4</v>
      </c>
      <c r="AJ166" s="172">
        <v>435</v>
      </c>
      <c r="AK166" s="172">
        <v>389.8</v>
      </c>
      <c r="AL166" s="172">
        <v>424.7</v>
      </c>
      <c r="AM166" s="172">
        <v>477.5</v>
      </c>
      <c r="AN166" s="172">
        <v>197.3</v>
      </c>
      <c r="AO166" s="172">
        <v>416</v>
      </c>
      <c r="AP166" s="172">
        <v>315.1</v>
      </c>
      <c r="AQ166" s="172">
        <v>318.5</v>
      </c>
      <c r="AR166" s="172">
        <v>373.7</v>
      </c>
      <c r="AS166" s="172"/>
      <c r="AT166" s="172"/>
      <c r="AU166" s="172"/>
    </row>
    <row r="167" spans="1:47" s="11" customFormat="1" ht="12.75">
      <c r="A167" s="10" t="s">
        <v>93</v>
      </c>
      <c r="B167" s="172" t="s">
        <v>92</v>
      </c>
      <c r="C167" s="172" t="s">
        <v>92</v>
      </c>
      <c r="D167" s="172" t="s">
        <v>92</v>
      </c>
      <c r="E167" s="172" t="s">
        <v>92</v>
      </c>
      <c r="F167" s="172" t="s">
        <v>92</v>
      </c>
      <c r="G167" s="172" t="s">
        <v>92</v>
      </c>
      <c r="H167" s="172" t="s">
        <v>92</v>
      </c>
      <c r="I167" s="172" t="s">
        <v>92</v>
      </c>
      <c r="J167" s="172" t="s">
        <v>92</v>
      </c>
      <c r="K167" s="172" t="s">
        <v>92</v>
      </c>
      <c r="L167" s="172" t="s">
        <v>92</v>
      </c>
      <c r="M167" s="172" t="s">
        <v>92</v>
      </c>
      <c r="N167" s="172" t="s">
        <v>92</v>
      </c>
      <c r="O167" s="172" t="s">
        <v>92</v>
      </c>
      <c r="P167" s="172" t="s">
        <v>92</v>
      </c>
      <c r="Q167" s="172" t="s">
        <v>92</v>
      </c>
      <c r="R167" s="172" t="s">
        <v>92</v>
      </c>
      <c r="S167" s="172" t="s">
        <v>92</v>
      </c>
      <c r="T167" s="172" t="s">
        <v>92</v>
      </c>
      <c r="U167" s="172" t="s">
        <v>92</v>
      </c>
      <c r="V167" s="172" t="s">
        <v>92</v>
      </c>
      <c r="W167" s="172" t="s">
        <v>92</v>
      </c>
      <c r="X167" s="172">
        <v>22.8</v>
      </c>
      <c r="Y167" s="172">
        <v>17</v>
      </c>
      <c r="Z167" s="172">
        <v>10</v>
      </c>
      <c r="AA167" s="172">
        <v>6.6</v>
      </c>
      <c r="AB167" s="172">
        <v>14.2</v>
      </c>
      <c r="AC167" s="172">
        <v>17.3</v>
      </c>
      <c r="AD167" s="172">
        <v>26.4</v>
      </c>
      <c r="AE167" s="172">
        <v>7.7</v>
      </c>
      <c r="AF167" s="172">
        <v>9.3</v>
      </c>
      <c r="AG167" s="172">
        <v>18.3</v>
      </c>
      <c r="AH167" s="172">
        <v>43.6</v>
      </c>
      <c r="AI167" s="172">
        <v>39.5</v>
      </c>
      <c r="AJ167" s="172">
        <v>43</v>
      </c>
      <c r="AK167" s="172">
        <v>51.7</v>
      </c>
      <c r="AL167" s="172">
        <v>45.1</v>
      </c>
      <c r="AM167" s="172">
        <v>49.1</v>
      </c>
      <c r="AN167" s="172">
        <v>25</v>
      </c>
      <c r="AO167" s="172">
        <v>37.9</v>
      </c>
      <c r="AP167" s="172">
        <v>53.9</v>
      </c>
      <c r="AQ167" s="172">
        <v>55</v>
      </c>
      <c r="AR167" s="172">
        <v>373.7</v>
      </c>
      <c r="AS167" s="172"/>
      <c r="AT167" s="172"/>
      <c r="AU167" s="172"/>
    </row>
    <row r="168" spans="1:47" s="11" customFormat="1" ht="12.75">
      <c r="A168" s="55" t="s">
        <v>94</v>
      </c>
      <c r="B168" s="172" t="s">
        <v>92</v>
      </c>
      <c r="C168" s="172" t="s">
        <v>92</v>
      </c>
      <c r="D168" s="172" t="s">
        <v>92</v>
      </c>
      <c r="E168" s="172" t="s">
        <v>92</v>
      </c>
      <c r="F168" s="172" t="s">
        <v>92</v>
      </c>
      <c r="G168" s="172" t="s">
        <v>92</v>
      </c>
      <c r="H168" s="172" t="s">
        <v>92</v>
      </c>
      <c r="I168" s="172" t="s">
        <v>92</v>
      </c>
      <c r="J168" s="172" t="s">
        <v>92</v>
      </c>
      <c r="K168" s="172" t="s">
        <v>92</v>
      </c>
      <c r="L168" s="172" t="s">
        <v>92</v>
      </c>
      <c r="M168" s="172" t="s">
        <v>92</v>
      </c>
      <c r="N168" s="172" t="s">
        <v>92</v>
      </c>
      <c r="O168" s="172" t="s">
        <v>92</v>
      </c>
      <c r="P168" s="172" t="s">
        <v>92</v>
      </c>
      <c r="Q168" s="172" t="s">
        <v>92</v>
      </c>
      <c r="R168" s="172" t="s">
        <v>92</v>
      </c>
      <c r="S168" s="172" t="s">
        <v>92</v>
      </c>
      <c r="T168" s="172" t="s">
        <v>92</v>
      </c>
      <c r="U168" s="172" t="s">
        <v>92</v>
      </c>
      <c r="V168" s="172" t="s">
        <v>92</v>
      </c>
      <c r="W168" s="172" t="s">
        <v>92</v>
      </c>
      <c r="X168" s="172">
        <v>11.2</v>
      </c>
      <c r="Y168" s="172">
        <v>25.7</v>
      </c>
      <c r="Z168" s="172">
        <v>28.2</v>
      </c>
      <c r="AA168" s="172">
        <v>36.5</v>
      </c>
      <c r="AB168" s="172">
        <v>34.8</v>
      </c>
      <c r="AC168" s="172">
        <v>104.2</v>
      </c>
      <c r="AD168" s="172">
        <v>63.6</v>
      </c>
      <c r="AE168" s="172">
        <v>39.4</v>
      </c>
      <c r="AF168" s="172">
        <v>36.9</v>
      </c>
      <c r="AG168" s="172">
        <v>56.7</v>
      </c>
      <c r="AH168" s="172">
        <v>132.4</v>
      </c>
      <c r="AI168" s="172">
        <v>137.7</v>
      </c>
      <c r="AJ168" s="172">
        <v>196.5</v>
      </c>
      <c r="AK168" s="172">
        <v>186.8</v>
      </c>
      <c r="AL168" s="172">
        <f>580-424.7-45.1</f>
        <v>110.20000000000002</v>
      </c>
      <c r="AM168" s="172">
        <f>639.2-477.5-49.1</f>
        <v>112.60000000000005</v>
      </c>
      <c r="AN168" s="172">
        <f>337.5-197.3-25</f>
        <v>115.19999999999999</v>
      </c>
      <c r="AO168" s="172">
        <f>591.9-416-37.9</f>
        <v>137.99999999999997</v>
      </c>
      <c r="AP168" s="172">
        <f>517.3-53.9-315.1</f>
        <v>148.29999999999995</v>
      </c>
      <c r="AQ168" s="172">
        <v>79.4</v>
      </c>
      <c r="AR168" s="172"/>
      <c r="AS168" s="172"/>
      <c r="AT168" s="172"/>
      <c r="AU168" s="172"/>
    </row>
    <row r="169" spans="1:47" s="1" customFormat="1" ht="12.75">
      <c r="A169" s="3" t="s">
        <v>95</v>
      </c>
      <c r="B169" s="76">
        <v>7.3</v>
      </c>
      <c r="C169" s="76">
        <v>6.9</v>
      </c>
      <c r="D169" s="76">
        <v>6.4</v>
      </c>
      <c r="E169" s="76">
        <v>5.9</v>
      </c>
      <c r="F169" s="76">
        <v>9.7</v>
      </c>
      <c r="G169" s="76">
        <v>12.9</v>
      </c>
      <c r="H169" s="76">
        <v>10.1</v>
      </c>
      <c r="I169" s="76">
        <v>14.4</v>
      </c>
      <c r="J169" s="76">
        <v>11.9</v>
      </c>
      <c r="K169" s="76">
        <v>13.7</v>
      </c>
      <c r="L169" s="76">
        <v>16.9</v>
      </c>
      <c r="M169" s="76">
        <v>14.5</v>
      </c>
      <c r="N169" s="76">
        <v>17.2</v>
      </c>
      <c r="O169" s="76">
        <v>28.2</v>
      </c>
      <c r="P169" s="76">
        <v>28.8</v>
      </c>
      <c r="Q169" s="76">
        <v>27.8</v>
      </c>
      <c r="R169" s="76">
        <v>28.3</v>
      </c>
      <c r="S169" s="76">
        <v>31.9</v>
      </c>
      <c r="T169" s="106">
        <v>39.9</v>
      </c>
      <c r="U169" s="76">
        <v>39.2</v>
      </c>
      <c r="V169" s="76">
        <v>49.3</v>
      </c>
      <c r="W169" s="76">
        <v>49.5</v>
      </c>
      <c r="X169" s="76">
        <v>53.4</v>
      </c>
      <c r="Y169" s="76">
        <v>40.6</v>
      </c>
      <c r="Z169" s="76">
        <v>34.6</v>
      </c>
      <c r="AA169" s="76">
        <v>48.7</v>
      </c>
      <c r="AB169" s="76">
        <v>60.5</v>
      </c>
      <c r="AC169" s="76">
        <v>60.6</v>
      </c>
      <c r="AD169" s="76">
        <v>103</v>
      </c>
      <c r="AE169" s="76">
        <v>78.2</v>
      </c>
      <c r="AF169" s="76">
        <v>94.2</v>
      </c>
      <c r="AG169" s="76">
        <v>56.8</v>
      </c>
      <c r="AH169" s="76">
        <v>76.6</v>
      </c>
      <c r="AI169" s="76">
        <v>78</v>
      </c>
      <c r="AJ169" s="76">
        <v>115</v>
      </c>
      <c r="AK169" s="76">
        <v>134.6</v>
      </c>
      <c r="AL169" s="76">
        <v>115</v>
      </c>
      <c r="AM169" s="76">
        <v>98.4</v>
      </c>
      <c r="AN169" s="76">
        <v>101.3</v>
      </c>
      <c r="AO169" s="76">
        <v>54</v>
      </c>
      <c r="AP169" s="76">
        <v>55.5</v>
      </c>
      <c r="AQ169" s="76">
        <v>38.5</v>
      </c>
      <c r="AR169" s="76">
        <v>39.1</v>
      </c>
      <c r="AS169" s="76"/>
      <c r="AT169" s="76"/>
      <c r="AU169" s="76"/>
    </row>
    <row r="170" spans="1:47" s="1" customFormat="1" ht="12.75">
      <c r="A170" s="3" t="s">
        <v>96</v>
      </c>
      <c r="B170" s="76">
        <v>2</v>
      </c>
      <c r="C170" s="76">
        <v>2.2</v>
      </c>
      <c r="D170" s="76">
        <v>2.4</v>
      </c>
      <c r="E170" s="76">
        <v>2.9</v>
      </c>
      <c r="F170" s="76">
        <v>2.6</v>
      </c>
      <c r="G170" s="76">
        <v>3.4</v>
      </c>
      <c r="H170" s="76">
        <v>3.7</v>
      </c>
      <c r="I170" s="76">
        <v>3.8</v>
      </c>
      <c r="J170" s="76">
        <v>4.1</v>
      </c>
      <c r="K170" s="76">
        <v>4.5</v>
      </c>
      <c r="L170" s="76">
        <v>5.8</v>
      </c>
      <c r="M170" s="76">
        <v>5.1</v>
      </c>
      <c r="N170" s="76">
        <v>5.4</v>
      </c>
      <c r="O170" s="76">
        <v>8.3</v>
      </c>
      <c r="P170" s="76">
        <v>8</v>
      </c>
      <c r="Q170" s="76">
        <v>7.4</v>
      </c>
      <c r="R170" s="76">
        <v>7.2</v>
      </c>
      <c r="S170" s="76">
        <v>0.5</v>
      </c>
      <c r="T170" s="106">
        <v>9.7</v>
      </c>
      <c r="U170" s="76">
        <v>7</v>
      </c>
      <c r="V170" s="76">
        <v>11</v>
      </c>
      <c r="W170" s="76">
        <v>15.3</v>
      </c>
      <c r="X170" s="76">
        <v>15.3</v>
      </c>
      <c r="Y170" s="76">
        <v>18.9</v>
      </c>
      <c r="Z170" s="76">
        <v>19</v>
      </c>
      <c r="AA170" s="76">
        <v>21.9</v>
      </c>
      <c r="AB170" s="76">
        <v>19.8</v>
      </c>
      <c r="AC170" s="76">
        <v>15.7</v>
      </c>
      <c r="AD170" s="76">
        <v>33.9</v>
      </c>
      <c r="AE170" s="76">
        <v>43.5</v>
      </c>
      <c r="AF170" s="76">
        <v>35.7</v>
      </c>
      <c r="AG170" s="76">
        <v>43.5</v>
      </c>
      <c r="AH170" s="76">
        <v>35.3</v>
      </c>
      <c r="AI170" s="76">
        <v>31.1</v>
      </c>
      <c r="AJ170" s="76">
        <v>32.3</v>
      </c>
      <c r="AK170" s="76">
        <v>27.5</v>
      </c>
      <c r="AL170" s="76">
        <v>30.6</v>
      </c>
      <c r="AM170" s="76">
        <v>23.8</v>
      </c>
      <c r="AN170" s="76">
        <v>29.5</v>
      </c>
      <c r="AO170" s="76">
        <v>37.9</v>
      </c>
      <c r="AP170" s="76">
        <v>26.1</v>
      </c>
      <c r="AQ170" s="76">
        <v>30.3</v>
      </c>
      <c r="AR170" s="76">
        <v>26.7</v>
      </c>
      <c r="AS170" s="76"/>
      <c r="AT170" s="76"/>
      <c r="AU170" s="76"/>
    </row>
    <row r="171" spans="1:47" s="1" customFormat="1" ht="12.75">
      <c r="A171" s="3" t="s">
        <v>97</v>
      </c>
      <c r="B171" s="76">
        <v>1.6</v>
      </c>
      <c r="C171" s="76">
        <v>1.4</v>
      </c>
      <c r="D171" s="76">
        <v>1.5</v>
      </c>
      <c r="E171" s="76">
        <v>1.5</v>
      </c>
      <c r="F171" s="76">
        <v>1.4</v>
      </c>
      <c r="G171" s="76">
        <v>1.5</v>
      </c>
      <c r="H171" s="76">
        <v>1.4</v>
      </c>
      <c r="I171" s="76">
        <v>1.6</v>
      </c>
      <c r="J171" s="76">
        <v>2</v>
      </c>
      <c r="K171" s="76">
        <v>2.4</v>
      </c>
      <c r="L171" s="76">
        <v>3.1</v>
      </c>
      <c r="M171" s="76">
        <v>4.2</v>
      </c>
      <c r="N171" s="76">
        <v>5.6</v>
      </c>
      <c r="O171" s="76">
        <v>6.2</v>
      </c>
      <c r="P171" s="76">
        <v>8.9</v>
      </c>
      <c r="Q171" s="76">
        <v>8.8</v>
      </c>
      <c r="R171" s="76">
        <v>11.5</v>
      </c>
      <c r="S171" s="76">
        <v>10.5</v>
      </c>
      <c r="T171" s="106">
        <v>10.6</v>
      </c>
      <c r="U171" s="76">
        <v>11.1</v>
      </c>
      <c r="V171" s="76">
        <v>15.7</v>
      </c>
      <c r="W171" s="76">
        <v>24.1</v>
      </c>
      <c r="X171" s="76">
        <v>20.3</v>
      </c>
      <c r="Y171" s="76">
        <v>17.6</v>
      </c>
      <c r="Z171" s="76">
        <v>13.6</v>
      </c>
      <c r="AA171" s="76">
        <v>11.4</v>
      </c>
      <c r="AB171" s="76">
        <v>12.5</v>
      </c>
      <c r="AC171" s="76">
        <v>12.5</v>
      </c>
      <c r="AD171" s="76">
        <v>22.1</v>
      </c>
      <c r="AE171" s="76">
        <v>28.4</v>
      </c>
      <c r="AF171" s="76">
        <v>25.4</v>
      </c>
      <c r="AG171" s="76">
        <v>21.9</v>
      </c>
      <c r="AH171" s="76">
        <v>21.4</v>
      </c>
      <c r="AI171" s="76">
        <v>30</v>
      </c>
      <c r="AJ171" s="76">
        <v>32</v>
      </c>
      <c r="AK171" s="76">
        <v>36.7</v>
      </c>
      <c r="AL171" s="76">
        <v>39.6</v>
      </c>
      <c r="AM171" s="76">
        <v>35.8</v>
      </c>
      <c r="AN171" s="76">
        <v>36.2</v>
      </c>
      <c r="AO171" s="76">
        <v>34.3</v>
      </c>
      <c r="AP171" s="76">
        <v>32.7</v>
      </c>
      <c r="AQ171" s="76">
        <v>1.5</v>
      </c>
      <c r="AR171" s="76">
        <v>2.4</v>
      </c>
      <c r="AS171" s="76"/>
      <c r="AT171" s="76"/>
      <c r="AU171" s="76"/>
    </row>
    <row r="172" spans="1:47" s="1" customFormat="1" ht="12.75">
      <c r="A172" s="3" t="s">
        <v>98</v>
      </c>
      <c r="B172" s="76">
        <v>3.6</v>
      </c>
      <c r="C172" s="76">
        <v>3.8</v>
      </c>
      <c r="D172" s="76">
        <v>3.5</v>
      </c>
      <c r="E172" s="76">
        <v>2.8</v>
      </c>
      <c r="F172" s="76">
        <v>3.7</v>
      </c>
      <c r="G172" s="76">
        <v>4.7</v>
      </c>
      <c r="H172" s="76">
        <v>3.8</v>
      </c>
      <c r="I172" s="76">
        <v>4.3</v>
      </c>
      <c r="J172" s="76">
        <v>3.5</v>
      </c>
      <c r="K172" s="76">
        <v>4</v>
      </c>
      <c r="L172" s="76">
        <v>4.8</v>
      </c>
      <c r="M172" s="76">
        <v>3.8</v>
      </c>
      <c r="N172" s="76">
        <v>4.7</v>
      </c>
      <c r="O172" s="76">
        <v>5.3</v>
      </c>
      <c r="P172" s="76">
        <v>9</v>
      </c>
      <c r="Q172" s="76">
        <v>6.5</v>
      </c>
      <c r="R172" s="76">
        <v>5.4</v>
      </c>
      <c r="S172" s="76">
        <v>3.2</v>
      </c>
      <c r="T172" s="106">
        <v>7.6</v>
      </c>
      <c r="U172" s="76">
        <v>3.4</v>
      </c>
      <c r="V172" s="76">
        <v>2.9</v>
      </c>
      <c r="W172" s="76">
        <v>0.4</v>
      </c>
      <c r="X172" s="76">
        <v>1.1</v>
      </c>
      <c r="Y172" s="76">
        <v>2.3</v>
      </c>
      <c r="Z172" s="76">
        <v>2.8</v>
      </c>
      <c r="AA172" s="76">
        <v>3.1</v>
      </c>
      <c r="AB172" s="76">
        <v>2.1</v>
      </c>
      <c r="AC172" s="76">
        <v>2.1</v>
      </c>
      <c r="AD172" s="76">
        <v>1.7</v>
      </c>
      <c r="AE172" s="76">
        <v>1.7</v>
      </c>
      <c r="AF172" s="76">
        <v>2</v>
      </c>
      <c r="AG172" s="76">
        <v>3.6</v>
      </c>
      <c r="AH172" s="76">
        <v>2.3</v>
      </c>
      <c r="AI172" s="76">
        <v>3.6</v>
      </c>
      <c r="AJ172" s="76">
        <v>4</v>
      </c>
      <c r="AK172" s="76">
        <v>0.5</v>
      </c>
      <c r="AL172" s="76">
        <v>0.2</v>
      </c>
      <c r="AM172" s="76">
        <v>1.7</v>
      </c>
      <c r="AN172" s="76">
        <v>1.1</v>
      </c>
      <c r="AO172" s="76">
        <v>1.6</v>
      </c>
      <c r="AP172" s="76">
        <v>1.6</v>
      </c>
      <c r="AQ172" s="76">
        <v>0.2</v>
      </c>
      <c r="AR172" s="76">
        <v>6.4</v>
      </c>
      <c r="AS172" s="76"/>
      <c r="AT172" s="76"/>
      <c r="AU172" s="76"/>
    </row>
    <row r="173" spans="1:47" s="1" customFormat="1" ht="12.75">
      <c r="A173" s="3" t="s">
        <v>99</v>
      </c>
      <c r="B173" s="76">
        <v>3.8</v>
      </c>
      <c r="C173" s="76">
        <v>2.9</v>
      </c>
      <c r="D173" s="76">
        <v>2.1</v>
      </c>
      <c r="E173" s="76">
        <v>1.8</v>
      </c>
      <c r="F173" s="76">
        <v>1.7</v>
      </c>
      <c r="G173" s="76">
        <v>1.7</v>
      </c>
      <c r="H173" s="76">
        <v>1.9</v>
      </c>
      <c r="I173" s="76">
        <v>4.4</v>
      </c>
      <c r="J173" s="76">
        <v>3</v>
      </c>
      <c r="K173" s="76">
        <v>2.7</v>
      </c>
      <c r="L173" s="76">
        <v>2.7</v>
      </c>
      <c r="M173" s="76">
        <v>3</v>
      </c>
      <c r="N173" s="76">
        <v>2.6</v>
      </c>
      <c r="O173" s="76">
        <v>4</v>
      </c>
      <c r="P173" s="76">
        <v>4.1</v>
      </c>
      <c r="Q173" s="76">
        <v>6.2</v>
      </c>
      <c r="R173" s="76">
        <v>4.4</v>
      </c>
      <c r="S173" s="76">
        <v>5.7</v>
      </c>
      <c r="T173" s="106">
        <v>6.7</v>
      </c>
      <c r="U173" s="76">
        <v>7.6</v>
      </c>
      <c r="V173" s="76">
        <v>4.3</v>
      </c>
      <c r="W173" s="76">
        <v>1.6</v>
      </c>
      <c r="X173" s="76">
        <v>0.4</v>
      </c>
      <c r="Y173" s="76">
        <v>4.3</v>
      </c>
      <c r="Z173" s="76">
        <v>3.6</v>
      </c>
      <c r="AA173" s="76">
        <v>1.2</v>
      </c>
      <c r="AB173" s="76">
        <v>1.1</v>
      </c>
      <c r="AC173" s="76">
        <v>8.7</v>
      </c>
      <c r="AD173" s="76">
        <v>7.8</v>
      </c>
      <c r="AE173" s="76">
        <v>8.6</v>
      </c>
      <c r="AF173" s="76">
        <v>12</v>
      </c>
      <c r="AG173" s="76">
        <v>19.5</v>
      </c>
      <c r="AH173" s="76">
        <v>28.7</v>
      </c>
      <c r="AI173" s="76">
        <v>38.8</v>
      </c>
      <c r="AJ173" s="76">
        <v>27</v>
      </c>
      <c r="AK173" s="76">
        <v>22.5</v>
      </c>
      <c r="AL173" s="76">
        <v>10.3</v>
      </c>
      <c r="AM173" s="76">
        <v>20.4</v>
      </c>
      <c r="AN173" s="76">
        <v>6.8</v>
      </c>
      <c r="AO173" s="76">
        <v>21.9</v>
      </c>
      <c r="AP173" s="76">
        <v>11.4</v>
      </c>
      <c r="AQ173" s="76">
        <v>6</v>
      </c>
      <c r="AR173" s="76">
        <v>2.6</v>
      </c>
      <c r="AS173" s="76"/>
      <c r="AT173" s="76"/>
      <c r="AU173" s="76"/>
    </row>
    <row r="174" spans="1:47" s="1" customFormat="1" ht="12.75">
      <c r="A174" s="3" t="s">
        <v>100</v>
      </c>
      <c r="B174" s="76">
        <v>24.2</v>
      </c>
      <c r="C174" s="76">
        <v>28.9</v>
      </c>
      <c r="D174" s="76">
        <v>32.4</v>
      </c>
      <c r="E174" s="76">
        <v>26.8</v>
      </c>
      <c r="F174" s="76">
        <v>37.6</v>
      </c>
      <c r="G174" s="76">
        <v>34.9</v>
      </c>
      <c r="H174" s="76">
        <v>50.1</v>
      </c>
      <c r="I174" s="76">
        <v>28.8</v>
      </c>
      <c r="J174" s="76">
        <v>37.9</v>
      </c>
      <c r="K174" s="76">
        <v>42.9</v>
      </c>
      <c r="L174" s="76">
        <v>49.5</v>
      </c>
      <c r="M174" s="76">
        <v>56.6</v>
      </c>
      <c r="N174" s="76">
        <v>67.4</v>
      </c>
      <c r="O174" s="76">
        <v>78.9</v>
      </c>
      <c r="P174" s="76">
        <v>150.1</v>
      </c>
      <c r="Q174" s="76">
        <v>85.3</v>
      </c>
      <c r="R174" s="76">
        <v>136.2</v>
      </c>
      <c r="S174" s="76">
        <v>122.3</v>
      </c>
      <c r="T174" s="106">
        <v>96.2</v>
      </c>
      <c r="U174" s="76">
        <v>103</v>
      </c>
      <c r="V174" s="76">
        <v>77</v>
      </c>
      <c r="W174" s="76">
        <v>5.3</v>
      </c>
      <c r="X174" s="76">
        <v>0</v>
      </c>
      <c r="Y174" s="76">
        <v>0</v>
      </c>
      <c r="Z174" s="76">
        <v>0</v>
      </c>
      <c r="AA174" s="76">
        <v>0</v>
      </c>
      <c r="AB174" s="76">
        <v>10.6</v>
      </c>
      <c r="AC174" s="76">
        <v>11.1</v>
      </c>
      <c r="AD174" s="76">
        <v>10</v>
      </c>
      <c r="AE174" s="76">
        <v>0.4</v>
      </c>
      <c r="AF174" s="76">
        <v>0</v>
      </c>
      <c r="AG174" s="76">
        <v>0</v>
      </c>
      <c r="AH174" s="76">
        <v>0</v>
      </c>
      <c r="AI174" s="76">
        <v>0.1</v>
      </c>
      <c r="AJ174" s="76">
        <v>2.5</v>
      </c>
      <c r="AK174" s="76">
        <v>2</v>
      </c>
      <c r="AL174" s="76">
        <v>1.2</v>
      </c>
      <c r="AM174" s="76">
        <v>31.4</v>
      </c>
      <c r="AN174" s="76">
        <v>16.7</v>
      </c>
      <c r="AO174" s="76">
        <v>5.6</v>
      </c>
      <c r="AP174" s="76">
        <v>2.6</v>
      </c>
      <c r="AQ174" s="76">
        <v>2.4</v>
      </c>
      <c r="AR174" s="76"/>
      <c r="AS174" s="76"/>
      <c r="AT174" s="76"/>
      <c r="AU174" s="76"/>
    </row>
    <row r="175" spans="1:47" s="1" customFormat="1" ht="12.75">
      <c r="A175" s="3" t="s">
        <v>101</v>
      </c>
      <c r="B175" s="76">
        <f>1.3+1+1.8+0.6+8.9</f>
        <v>13.6</v>
      </c>
      <c r="C175" s="76">
        <f>1.5+1.2+2+0.4+7.5</f>
        <v>12.600000000000001</v>
      </c>
      <c r="D175" s="76">
        <f>1.2+2.7+1.8+0.5+6.3</f>
        <v>12.5</v>
      </c>
      <c r="E175" s="76">
        <f>2.2+2.3+0.4+3.1+4.4</f>
        <v>12.4</v>
      </c>
      <c r="F175" s="76">
        <f>3.2+1.7+0.7+2.1+5.8</f>
        <v>13.5</v>
      </c>
      <c r="G175" s="76">
        <f>6.7+1+1+2.7+5.1</f>
        <v>16.5</v>
      </c>
      <c r="H175" s="76">
        <f>9.9+2.8+2.8+2.8+2.7</f>
        <v>21</v>
      </c>
      <c r="I175" s="76">
        <f>7+1.9+2.8+3+2.7</f>
        <v>17.4</v>
      </c>
      <c r="J175" s="76">
        <f>4.9+1.9+6+2.6+1.7+3.2</f>
        <v>20.3</v>
      </c>
      <c r="K175" s="76">
        <v>32.2</v>
      </c>
      <c r="L175" s="76">
        <v>29.7</v>
      </c>
      <c r="M175" s="76">
        <v>31.4</v>
      </c>
      <c r="N175" s="76">
        <v>42.5</v>
      </c>
      <c r="O175" s="76">
        <v>39.1</v>
      </c>
      <c r="P175" s="76">
        <v>93.6</v>
      </c>
      <c r="Q175" s="76">
        <v>52.7</v>
      </c>
      <c r="R175" s="76">
        <v>40.4</v>
      </c>
      <c r="S175" s="76">
        <v>38.2</v>
      </c>
      <c r="T175" s="106">
        <v>70.3</v>
      </c>
      <c r="U175" s="76">
        <v>38.8</v>
      </c>
      <c r="V175" s="76">
        <v>41</v>
      </c>
      <c r="W175" s="76">
        <v>18.5</v>
      </c>
      <c r="X175" s="76">
        <v>23</v>
      </c>
      <c r="Y175" s="76">
        <v>25.8</v>
      </c>
      <c r="Z175" s="76">
        <v>30.1</v>
      </c>
      <c r="AA175" s="76">
        <v>39.2</v>
      </c>
      <c r="AB175" s="76">
        <v>36</v>
      </c>
      <c r="AC175" s="76">
        <v>41.6</v>
      </c>
      <c r="AD175" s="76">
        <v>58.4</v>
      </c>
      <c r="AE175" s="76">
        <v>48.1</v>
      </c>
      <c r="AF175" s="76">
        <v>61.3</v>
      </c>
      <c r="AG175" s="76">
        <v>51</v>
      </c>
      <c r="AH175" s="76">
        <v>80.3</v>
      </c>
      <c r="AI175" s="76">
        <v>130.8</v>
      </c>
      <c r="AJ175" s="76">
        <v>244.8</v>
      </c>
      <c r="AK175" s="76">
        <v>273.6</v>
      </c>
      <c r="AL175" s="76">
        <v>143</v>
      </c>
      <c r="AM175" s="76">
        <v>152.6</v>
      </c>
      <c r="AN175" s="76">
        <v>85.9</v>
      </c>
      <c r="AO175" s="76">
        <v>95</v>
      </c>
      <c r="AP175" s="76">
        <v>139.6</v>
      </c>
      <c r="AQ175" s="76">
        <v>172</v>
      </c>
      <c r="AR175" s="76"/>
      <c r="AS175" s="76"/>
      <c r="AT175" s="76"/>
      <c r="AU175" s="76"/>
    </row>
    <row r="176" spans="1:47" s="2" customFormat="1" ht="12.75">
      <c r="A176" s="4"/>
      <c r="B176" s="75"/>
      <c r="C176" s="75"/>
      <c r="D176" s="75"/>
      <c r="E176" s="75"/>
      <c r="F176" s="75"/>
      <c r="G176" s="75"/>
      <c r="H176" s="75"/>
      <c r="I176" s="75"/>
      <c r="J176" s="75"/>
      <c r="K176" s="75">
        <f>2.7+1.8+1.7+11.2+5.2+2.7+2.6</f>
        <v>27.9</v>
      </c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174"/>
      <c r="Y176" s="174"/>
      <c r="Z176" s="174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</row>
    <row r="177" spans="1:47" s="12" customFormat="1" ht="12.75">
      <c r="A177" s="9" t="s">
        <v>102</v>
      </c>
      <c r="B177" s="175">
        <v>3.8</v>
      </c>
      <c r="C177" s="175">
        <v>3.4</v>
      </c>
      <c r="D177" s="175">
        <v>4</v>
      </c>
      <c r="E177" s="175">
        <v>3.6</v>
      </c>
      <c r="F177" s="175">
        <v>4.8</v>
      </c>
      <c r="G177" s="175">
        <v>8.7</v>
      </c>
      <c r="H177" s="175">
        <v>10.7</v>
      </c>
      <c r="I177" s="175">
        <v>9.3</v>
      </c>
      <c r="J177" s="175">
        <v>7</v>
      </c>
      <c r="K177" s="175">
        <v>7.4</v>
      </c>
      <c r="L177" s="175">
        <v>11.9</v>
      </c>
      <c r="M177" s="175">
        <v>19.7</v>
      </c>
      <c r="N177" s="175">
        <v>16.5</v>
      </c>
      <c r="O177" s="175">
        <v>19.2</v>
      </c>
      <c r="P177" s="175">
        <v>23.9</v>
      </c>
      <c r="Q177" s="175">
        <v>32.8</v>
      </c>
      <c r="R177" s="175">
        <v>32.8</v>
      </c>
      <c r="S177" s="175">
        <v>10.2</v>
      </c>
      <c r="T177" s="176">
        <v>46.6</v>
      </c>
      <c r="U177" s="175">
        <v>10.9</v>
      </c>
      <c r="V177" s="175">
        <v>20.6</v>
      </c>
      <c r="W177" s="175">
        <v>19.5</v>
      </c>
      <c r="X177" s="175">
        <v>5</v>
      </c>
      <c r="Y177" s="175">
        <v>7.1</v>
      </c>
      <c r="Z177" s="175">
        <v>12.5</v>
      </c>
      <c r="AA177" s="175">
        <v>38.8</v>
      </c>
      <c r="AB177" s="175">
        <v>30</v>
      </c>
      <c r="AC177" s="175">
        <v>24.9</v>
      </c>
      <c r="AD177" s="175">
        <v>38.3</v>
      </c>
      <c r="AE177" s="175">
        <v>32.8</v>
      </c>
      <c r="AF177" s="175">
        <v>26.9</v>
      </c>
      <c r="AG177" s="175">
        <v>32.3</v>
      </c>
      <c r="AH177" s="175">
        <v>51.3</v>
      </c>
      <c r="AI177" s="175">
        <v>21.2</v>
      </c>
      <c r="AJ177" s="175">
        <v>39</v>
      </c>
      <c r="AK177" s="175">
        <v>55.9</v>
      </c>
      <c r="AL177" s="175">
        <v>73.4</v>
      </c>
      <c r="AM177" s="175">
        <v>46.8</v>
      </c>
      <c r="AN177" s="175">
        <v>45.1</v>
      </c>
      <c r="AO177" s="175">
        <v>12.8</v>
      </c>
      <c r="AP177" s="175">
        <v>36.3</v>
      </c>
      <c r="AQ177" s="175">
        <v>79.7</v>
      </c>
      <c r="AR177" s="175"/>
      <c r="AS177" s="175"/>
      <c r="AT177" s="175"/>
      <c r="AU177" s="175"/>
    </row>
    <row r="178" spans="1:47" s="2" customFormat="1" ht="12.75">
      <c r="A178" s="4" t="s">
        <v>103</v>
      </c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</row>
    <row r="179" spans="1:47" s="12" customFormat="1" ht="12.75">
      <c r="A179" s="9" t="s">
        <v>104</v>
      </c>
      <c r="B179" s="175">
        <f>SUM(B180:B192)</f>
        <v>4.800000000000001</v>
      </c>
      <c r="C179" s="175">
        <f aca="true" t="shared" si="168" ref="C179:R179">SUM(C180:C192)</f>
        <v>6.3999999999999995</v>
      </c>
      <c r="D179" s="175">
        <f t="shared" si="168"/>
        <v>10.7</v>
      </c>
      <c r="E179" s="175">
        <f t="shared" si="168"/>
        <v>10.1</v>
      </c>
      <c r="F179" s="175">
        <f t="shared" si="168"/>
        <v>7.6</v>
      </c>
      <c r="G179" s="175">
        <f t="shared" si="168"/>
        <v>12.599999999999998</v>
      </c>
      <c r="H179" s="175">
        <f t="shared" si="168"/>
        <v>9.7</v>
      </c>
      <c r="I179" s="175">
        <f t="shared" si="168"/>
        <v>11.1</v>
      </c>
      <c r="J179" s="175">
        <f t="shared" si="168"/>
        <v>21.1</v>
      </c>
      <c r="K179" s="175">
        <f t="shared" si="168"/>
        <v>24.6</v>
      </c>
      <c r="L179" s="175">
        <f t="shared" si="168"/>
        <v>31</v>
      </c>
      <c r="M179" s="175">
        <f t="shared" si="168"/>
        <v>45.8</v>
      </c>
      <c r="N179" s="175">
        <f t="shared" si="168"/>
        <v>61.699999999999996</v>
      </c>
      <c r="O179" s="175">
        <f t="shared" si="168"/>
        <v>102.60000000000001</v>
      </c>
      <c r="P179" s="175">
        <f t="shared" si="168"/>
        <v>105.69999999999999</v>
      </c>
      <c r="Q179" s="175">
        <f t="shared" si="168"/>
        <v>163.10000000000002</v>
      </c>
      <c r="R179" s="175">
        <f t="shared" si="168"/>
        <v>145.7</v>
      </c>
      <c r="S179" s="175">
        <f aca="true" t="shared" si="169" ref="S179:AH179">SUM(S180:S192)</f>
        <v>152.60000000000002</v>
      </c>
      <c r="T179" s="175">
        <f t="shared" si="169"/>
        <v>135.6</v>
      </c>
      <c r="U179" s="175">
        <f t="shared" si="169"/>
        <v>163</v>
      </c>
      <c r="V179" s="175">
        <f t="shared" si="169"/>
        <v>66.4</v>
      </c>
      <c r="W179" s="175">
        <f t="shared" si="169"/>
        <v>24</v>
      </c>
      <c r="X179" s="175">
        <f t="shared" si="169"/>
        <v>13.200000000000001</v>
      </c>
      <c r="Y179" s="175">
        <f t="shared" si="169"/>
        <v>21.300000000000004</v>
      </c>
      <c r="Z179" s="175">
        <f t="shared" si="169"/>
        <v>26</v>
      </c>
      <c r="AA179" s="175">
        <f t="shared" si="169"/>
        <v>27.300000000000004</v>
      </c>
      <c r="AB179" s="175">
        <f t="shared" si="169"/>
        <v>64</v>
      </c>
      <c r="AC179" s="175">
        <f t="shared" si="169"/>
        <v>109.89999999999999</v>
      </c>
      <c r="AD179" s="175">
        <f t="shared" si="169"/>
        <v>131.8</v>
      </c>
      <c r="AE179" s="175">
        <f t="shared" si="169"/>
        <v>232.70000000000002</v>
      </c>
      <c r="AF179" s="175">
        <f t="shared" si="169"/>
        <v>122.6</v>
      </c>
      <c r="AG179" s="175">
        <f t="shared" si="169"/>
        <v>241.5</v>
      </c>
      <c r="AH179" s="175">
        <f t="shared" si="169"/>
        <v>660</v>
      </c>
      <c r="AI179" s="175">
        <f aca="true" t="shared" si="170" ref="AI179:AQ179">SUM(AI180:AI192)</f>
        <v>970.9</v>
      </c>
      <c r="AJ179" s="175">
        <f t="shared" si="170"/>
        <v>1191.7</v>
      </c>
      <c r="AK179" s="175">
        <f t="shared" si="170"/>
        <v>1510</v>
      </c>
      <c r="AL179" s="175">
        <f t="shared" si="170"/>
        <v>1276.3</v>
      </c>
      <c r="AM179" s="175">
        <f t="shared" si="170"/>
        <v>1413.1</v>
      </c>
      <c r="AN179" s="175">
        <f t="shared" si="170"/>
        <v>1579.8</v>
      </c>
      <c r="AO179" s="175">
        <f t="shared" si="170"/>
        <v>1588.2</v>
      </c>
      <c r="AP179" s="175">
        <f t="shared" si="170"/>
        <v>1847.6999999999998</v>
      </c>
      <c r="AQ179" s="175">
        <f t="shared" si="170"/>
        <v>2462.6</v>
      </c>
      <c r="AR179" s="175">
        <f>SUM(AR180:AR192)</f>
        <v>2407.3999999999996</v>
      </c>
      <c r="AS179" s="175">
        <f>SUM(AS180:AS192)</f>
        <v>2779.8</v>
      </c>
      <c r="AT179" s="175">
        <f>SUM(AT180:AT192)</f>
        <v>3292.6000000000004</v>
      </c>
      <c r="AU179" s="175">
        <f>SUM(AU180:AU192)</f>
        <v>0</v>
      </c>
    </row>
    <row r="180" spans="1:47" s="1" customFormat="1" ht="12.75">
      <c r="A180" s="3" t="s">
        <v>105</v>
      </c>
      <c r="B180" s="76" t="s">
        <v>92</v>
      </c>
      <c r="C180" s="76" t="s">
        <v>92</v>
      </c>
      <c r="D180" s="76" t="s">
        <v>92</v>
      </c>
      <c r="E180" s="76" t="s">
        <v>92</v>
      </c>
      <c r="F180" s="76" t="s">
        <v>92</v>
      </c>
      <c r="G180" s="76" t="s">
        <v>92</v>
      </c>
      <c r="H180" s="76" t="s">
        <v>92</v>
      </c>
      <c r="I180" s="76" t="s">
        <v>92</v>
      </c>
      <c r="J180" s="76">
        <v>1.2</v>
      </c>
      <c r="K180" s="76">
        <v>4.2</v>
      </c>
      <c r="L180" s="76">
        <v>5.1</v>
      </c>
      <c r="M180" s="76">
        <v>8.3</v>
      </c>
      <c r="N180" s="76">
        <v>7.9</v>
      </c>
      <c r="O180" s="76">
        <v>15.6</v>
      </c>
      <c r="P180" s="76">
        <v>5.8</v>
      </c>
      <c r="Q180" s="76">
        <v>12.1</v>
      </c>
      <c r="R180" s="76">
        <v>22.1</v>
      </c>
      <c r="S180" s="76">
        <v>19.3</v>
      </c>
      <c r="T180" s="106">
        <v>16.1</v>
      </c>
      <c r="U180" s="76">
        <v>9.1</v>
      </c>
      <c r="V180" s="76">
        <v>0.9</v>
      </c>
      <c r="W180" s="76">
        <v>0</v>
      </c>
      <c r="X180" s="76">
        <v>0</v>
      </c>
      <c r="Y180" s="76">
        <v>0.4</v>
      </c>
      <c r="Z180" s="76">
        <v>0.1</v>
      </c>
      <c r="AA180" s="76">
        <v>0.8</v>
      </c>
      <c r="AB180" s="76">
        <v>0</v>
      </c>
      <c r="AC180" s="76">
        <v>0.8</v>
      </c>
      <c r="AD180" s="76">
        <v>2.8</v>
      </c>
      <c r="AE180" s="76">
        <v>0.4</v>
      </c>
      <c r="AF180" s="76">
        <v>3.8</v>
      </c>
      <c r="AG180" s="76">
        <v>1.6</v>
      </c>
      <c r="AH180" s="76">
        <v>2.8</v>
      </c>
      <c r="AI180" s="76">
        <v>5.6</v>
      </c>
      <c r="AJ180" s="76">
        <v>3.4</v>
      </c>
      <c r="AK180" s="76">
        <v>15</v>
      </c>
      <c r="AL180" s="76">
        <v>20.3</v>
      </c>
      <c r="AM180" s="76">
        <v>23.7</v>
      </c>
      <c r="AN180" s="76">
        <v>28.4</v>
      </c>
      <c r="AO180" s="76">
        <v>27.5</v>
      </c>
      <c r="AP180" s="76">
        <v>28.7</v>
      </c>
      <c r="AQ180" s="76">
        <v>39</v>
      </c>
      <c r="AR180" s="76">
        <v>41.2</v>
      </c>
      <c r="AS180" s="76">
        <v>56.6</v>
      </c>
      <c r="AT180" s="76">
        <v>43.9</v>
      </c>
      <c r="AU180" s="76"/>
    </row>
    <row r="181" spans="1:47" s="1" customFormat="1" ht="12.75">
      <c r="A181" s="3" t="s">
        <v>106</v>
      </c>
      <c r="B181" s="76"/>
      <c r="C181" s="76"/>
      <c r="D181" s="76"/>
      <c r="E181" s="76"/>
      <c r="F181" s="76"/>
      <c r="G181" s="76"/>
      <c r="H181" s="76"/>
      <c r="I181" s="76"/>
      <c r="J181" s="76"/>
      <c r="K181" s="76">
        <v>1.8</v>
      </c>
      <c r="L181" s="76">
        <v>3.4</v>
      </c>
      <c r="M181" s="76">
        <v>5.2</v>
      </c>
      <c r="N181" s="76">
        <v>4.1</v>
      </c>
      <c r="O181" s="76">
        <v>14.8</v>
      </c>
      <c r="P181" s="76">
        <v>16</v>
      </c>
      <c r="Q181" s="76">
        <v>22</v>
      </c>
      <c r="R181" s="76">
        <v>18.5</v>
      </c>
      <c r="S181" s="76">
        <v>31.6</v>
      </c>
      <c r="T181" s="76">
        <v>17.7</v>
      </c>
      <c r="U181" s="76">
        <v>44.5</v>
      </c>
      <c r="V181" s="76">
        <v>3.8</v>
      </c>
      <c r="W181" s="76">
        <v>0.2</v>
      </c>
      <c r="X181" s="76">
        <v>0</v>
      </c>
      <c r="Y181" s="76">
        <v>0.1</v>
      </c>
      <c r="Z181" s="76">
        <v>0.1</v>
      </c>
      <c r="AA181" s="76">
        <v>1.4</v>
      </c>
      <c r="AB181" s="76">
        <v>4.5</v>
      </c>
      <c r="AC181" s="76">
        <v>11</v>
      </c>
      <c r="AD181" s="76">
        <v>17.4</v>
      </c>
      <c r="AE181" s="76">
        <v>32.6</v>
      </c>
      <c r="AF181" s="76">
        <v>34.2</v>
      </c>
      <c r="AG181" s="76">
        <v>15.9</v>
      </c>
      <c r="AH181" s="76">
        <v>40.3</v>
      </c>
      <c r="AI181" s="76">
        <v>17.7</v>
      </c>
      <c r="AJ181" s="76">
        <v>47</v>
      </c>
      <c r="AK181" s="76">
        <v>67.5</v>
      </c>
      <c r="AL181" s="76">
        <v>136</v>
      </c>
      <c r="AM181" s="76">
        <v>182.8</v>
      </c>
      <c r="AN181" s="76">
        <v>101.9</v>
      </c>
      <c r="AO181" s="76">
        <v>139.7</v>
      </c>
      <c r="AP181" s="76">
        <v>83.3</v>
      </c>
      <c r="AQ181" s="76">
        <v>110.2</v>
      </c>
      <c r="AR181" s="76">
        <v>1052.7</v>
      </c>
      <c r="AS181" s="76">
        <v>1118.4</v>
      </c>
      <c r="AT181" s="76">
        <v>1388.9</v>
      </c>
      <c r="AU181" s="76"/>
    </row>
    <row r="182" spans="1:47" s="1" customFormat="1" ht="12.75">
      <c r="A182" s="3" t="s">
        <v>107</v>
      </c>
      <c r="B182" s="76" t="s">
        <v>92</v>
      </c>
      <c r="C182" s="76" t="s">
        <v>92</v>
      </c>
      <c r="D182" s="76" t="s">
        <v>92</v>
      </c>
      <c r="E182" s="76" t="s">
        <v>92</v>
      </c>
      <c r="F182" s="76" t="s">
        <v>92</v>
      </c>
      <c r="G182" s="76" t="s">
        <v>92</v>
      </c>
      <c r="H182" s="76" t="s">
        <v>92</v>
      </c>
      <c r="I182" s="76">
        <v>1.2</v>
      </c>
      <c r="J182" s="76">
        <v>2.4</v>
      </c>
      <c r="K182" s="76">
        <v>2.9</v>
      </c>
      <c r="L182" s="76">
        <v>3.7</v>
      </c>
      <c r="M182" s="76">
        <v>6.7</v>
      </c>
      <c r="N182" s="76">
        <v>8.4</v>
      </c>
      <c r="O182" s="76">
        <v>13</v>
      </c>
      <c r="P182" s="76">
        <v>11</v>
      </c>
      <c r="Q182" s="76">
        <v>7.4</v>
      </c>
      <c r="R182" s="76">
        <v>9.6</v>
      </c>
      <c r="S182" s="76">
        <v>5.7</v>
      </c>
      <c r="T182" s="106">
        <v>8.1</v>
      </c>
      <c r="U182" s="76">
        <v>3.8</v>
      </c>
      <c r="V182" s="76">
        <v>4.6</v>
      </c>
      <c r="W182" s="76">
        <v>2.8</v>
      </c>
      <c r="X182" s="76">
        <v>0.5</v>
      </c>
      <c r="Y182" s="76">
        <v>1.7</v>
      </c>
      <c r="Z182" s="76">
        <v>2.8</v>
      </c>
      <c r="AA182" s="76">
        <v>2.6</v>
      </c>
      <c r="AB182" s="76">
        <v>3</v>
      </c>
      <c r="AC182" s="76">
        <v>1.4</v>
      </c>
      <c r="AD182" s="76">
        <v>4.4</v>
      </c>
      <c r="AE182" s="76">
        <v>0.2</v>
      </c>
      <c r="AF182" s="76">
        <v>0.3</v>
      </c>
      <c r="AG182" s="76">
        <v>0.2</v>
      </c>
      <c r="AH182" s="76">
        <v>7.1</v>
      </c>
      <c r="AI182" s="76">
        <v>22.7</v>
      </c>
      <c r="AJ182" s="76">
        <v>11.6</v>
      </c>
      <c r="AK182" s="76">
        <v>36.9</v>
      </c>
      <c r="AL182" s="76">
        <v>50.8</v>
      </c>
      <c r="AM182" s="76">
        <v>61.3</v>
      </c>
      <c r="AN182" s="76">
        <v>61.6</v>
      </c>
      <c r="AO182" s="76">
        <v>47.1</v>
      </c>
      <c r="AP182" s="76">
        <v>42.7</v>
      </c>
      <c r="AQ182" s="76">
        <v>65.4</v>
      </c>
      <c r="AR182" s="76">
        <v>95</v>
      </c>
      <c r="AS182" s="76">
        <v>70.6</v>
      </c>
      <c r="AT182" s="76">
        <v>53.9</v>
      </c>
      <c r="AU182" s="76"/>
    </row>
    <row r="183" spans="1:47" s="1" customFormat="1" ht="12.75">
      <c r="A183" s="26" t="s">
        <v>108</v>
      </c>
      <c r="B183" s="76">
        <v>0.2</v>
      </c>
      <c r="C183" s="76">
        <v>0.3</v>
      </c>
      <c r="D183" s="76">
        <v>0.7</v>
      </c>
      <c r="E183" s="76">
        <v>0.4</v>
      </c>
      <c r="F183" s="76">
        <v>0.3</v>
      </c>
      <c r="G183" s="76">
        <v>0.4</v>
      </c>
      <c r="H183" s="76">
        <v>0.3</v>
      </c>
      <c r="I183" s="76">
        <v>1.3</v>
      </c>
      <c r="J183" s="76">
        <v>3.7</v>
      </c>
      <c r="K183" s="76">
        <v>4.4</v>
      </c>
      <c r="L183" s="76">
        <v>7.5</v>
      </c>
      <c r="M183" s="76">
        <v>14.3</v>
      </c>
      <c r="N183" s="76">
        <v>23.6</v>
      </c>
      <c r="O183" s="76">
        <v>36</v>
      </c>
      <c r="P183" s="76">
        <v>28.5</v>
      </c>
      <c r="Q183" s="76">
        <v>44.2</v>
      </c>
      <c r="R183" s="76">
        <v>28.7</v>
      </c>
      <c r="S183" s="76">
        <v>26.7</v>
      </c>
      <c r="T183" s="76">
        <v>24.3</v>
      </c>
      <c r="U183" s="76">
        <v>20.1</v>
      </c>
      <c r="V183" s="76">
        <v>11.7</v>
      </c>
      <c r="W183" s="76">
        <v>10.5</v>
      </c>
      <c r="X183" s="76">
        <v>8.9</v>
      </c>
      <c r="Y183" s="76">
        <v>9.6</v>
      </c>
      <c r="Z183" s="76">
        <v>10</v>
      </c>
      <c r="AA183" s="76">
        <v>14.3</v>
      </c>
      <c r="AB183" s="76">
        <v>8.8</v>
      </c>
      <c r="AC183" s="76">
        <v>15.4</v>
      </c>
      <c r="AD183" s="76">
        <v>9.9</v>
      </c>
      <c r="AE183" s="76">
        <v>6.9</v>
      </c>
      <c r="AF183" s="76">
        <v>5.4</v>
      </c>
      <c r="AG183" s="76">
        <v>11.7</v>
      </c>
      <c r="AH183" s="76">
        <v>23.5</v>
      </c>
      <c r="AI183" s="76">
        <v>55.6</v>
      </c>
      <c r="AJ183" s="76">
        <v>36.5</v>
      </c>
      <c r="AK183" s="76">
        <v>96.1</v>
      </c>
      <c r="AL183" s="76">
        <v>75</v>
      </c>
      <c r="AM183" s="76">
        <v>75.3</v>
      </c>
      <c r="AN183" s="76">
        <v>41</v>
      </c>
      <c r="AO183" s="76">
        <v>17.8</v>
      </c>
      <c r="AP183" s="76">
        <v>40.9</v>
      </c>
      <c r="AQ183" s="76">
        <v>85.1</v>
      </c>
      <c r="AR183" s="76">
        <v>7.3</v>
      </c>
      <c r="AS183" s="76">
        <v>70.6</v>
      </c>
      <c r="AT183" s="76">
        <v>208.1</v>
      </c>
      <c r="AU183" s="76"/>
    </row>
    <row r="184" spans="1:47" s="1" customFormat="1" ht="12.75">
      <c r="A184" s="26" t="s">
        <v>109</v>
      </c>
      <c r="B184" s="76">
        <v>0.4</v>
      </c>
      <c r="C184" s="76">
        <v>0.3</v>
      </c>
      <c r="D184" s="76">
        <v>0.4</v>
      </c>
      <c r="E184" s="76">
        <v>0.5</v>
      </c>
      <c r="F184" s="76">
        <v>1.8</v>
      </c>
      <c r="G184" s="76">
        <v>2.3</v>
      </c>
      <c r="H184" s="76">
        <v>2.2</v>
      </c>
      <c r="I184" s="76">
        <v>2</v>
      </c>
      <c r="J184" s="76">
        <v>1.7</v>
      </c>
      <c r="K184" s="76">
        <v>2.3</v>
      </c>
      <c r="L184" s="76">
        <v>2.3</v>
      </c>
      <c r="M184" s="76">
        <v>2.9</v>
      </c>
      <c r="N184" s="76">
        <v>2.4</v>
      </c>
      <c r="O184" s="76">
        <v>5.5</v>
      </c>
      <c r="P184" s="76">
        <v>7.6</v>
      </c>
      <c r="Q184" s="76">
        <v>3.9</v>
      </c>
      <c r="R184" s="76">
        <v>1.8</v>
      </c>
      <c r="S184" s="76">
        <v>2.4</v>
      </c>
      <c r="T184" s="76">
        <v>2.2</v>
      </c>
      <c r="U184" s="76">
        <v>0.7</v>
      </c>
      <c r="V184" s="76">
        <v>0.2</v>
      </c>
      <c r="W184" s="76">
        <v>0.1</v>
      </c>
      <c r="X184" s="76">
        <v>0</v>
      </c>
      <c r="Y184" s="76">
        <v>3.4</v>
      </c>
      <c r="Z184" s="76">
        <v>3.1</v>
      </c>
      <c r="AA184" s="76">
        <v>1.1</v>
      </c>
      <c r="AB184" s="76">
        <v>0.8</v>
      </c>
      <c r="AC184" s="76">
        <v>3.3</v>
      </c>
      <c r="AD184" s="76">
        <v>10.2</v>
      </c>
      <c r="AE184" s="76">
        <v>4.5</v>
      </c>
      <c r="AF184" s="76">
        <v>6.2</v>
      </c>
      <c r="AG184" s="76">
        <v>4.2</v>
      </c>
      <c r="AH184" s="76">
        <v>5.2</v>
      </c>
      <c r="AI184" s="76">
        <v>4.5</v>
      </c>
      <c r="AJ184" s="76">
        <v>6.2</v>
      </c>
      <c r="AK184" s="76">
        <v>32.8</v>
      </c>
      <c r="AL184" s="76">
        <v>32.6</v>
      </c>
      <c r="AM184" s="76">
        <v>30.2</v>
      </c>
      <c r="AN184" s="76">
        <v>22.6</v>
      </c>
      <c r="AO184" s="76">
        <v>36.7</v>
      </c>
      <c r="AP184" s="76">
        <v>59.4</v>
      </c>
      <c r="AQ184" s="76">
        <v>95.3</v>
      </c>
      <c r="AR184" s="76">
        <v>104.3</v>
      </c>
      <c r="AS184" s="76">
        <v>97.2</v>
      </c>
      <c r="AT184" s="76">
        <v>86.4</v>
      </c>
      <c r="AU184" s="76"/>
    </row>
    <row r="185" spans="1:47" s="1" customFormat="1" ht="12.75">
      <c r="A185" s="3" t="s">
        <v>110</v>
      </c>
      <c r="B185" s="76" t="s">
        <v>92</v>
      </c>
      <c r="C185" s="76" t="s">
        <v>92</v>
      </c>
      <c r="D185" s="76" t="s">
        <v>92</v>
      </c>
      <c r="E185" s="76" t="s">
        <v>92</v>
      </c>
      <c r="F185" s="76" t="s">
        <v>92</v>
      </c>
      <c r="G185" s="76" t="s">
        <v>92</v>
      </c>
      <c r="H185" s="76" t="s">
        <v>92</v>
      </c>
      <c r="I185" s="76" t="s">
        <v>92</v>
      </c>
      <c r="J185" s="76" t="s">
        <v>92</v>
      </c>
      <c r="K185" s="76">
        <v>1</v>
      </c>
      <c r="L185" s="76">
        <v>1.8</v>
      </c>
      <c r="M185" s="76">
        <v>1.8</v>
      </c>
      <c r="N185" s="76">
        <v>4.5</v>
      </c>
      <c r="O185" s="76">
        <v>2</v>
      </c>
      <c r="P185" s="76">
        <v>11.7</v>
      </c>
      <c r="Q185" s="76">
        <v>21.2</v>
      </c>
      <c r="R185" s="76">
        <v>28.3</v>
      </c>
      <c r="S185" s="76">
        <v>24.2</v>
      </c>
      <c r="T185" s="76">
        <v>13.1</v>
      </c>
      <c r="U185" s="76">
        <v>9.5</v>
      </c>
      <c r="V185" s="76">
        <v>2.5</v>
      </c>
      <c r="W185" s="76">
        <v>0.3</v>
      </c>
      <c r="X185" s="76">
        <v>0.3</v>
      </c>
      <c r="Y185" s="76">
        <v>1.5</v>
      </c>
      <c r="Z185" s="76">
        <v>1.4</v>
      </c>
      <c r="AA185" s="76">
        <v>0.2</v>
      </c>
      <c r="AB185" s="76">
        <v>0.3</v>
      </c>
      <c r="AC185" s="76">
        <v>2.4</v>
      </c>
      <c r="AD185" s="76">
        <v>2.2</v>
      </c>
      <c r="AE185" s="76">
        <v>1.9</v>
      </c>
      <c r="AF185" s="76">
        <v>1.8</v>
      </c>
      <c r="AG185" s="76">
        <v>4.7</v>
      </c>
      <c r="AH185" s="76">
        <v>14.6</v>
      </c>
      <c r="AI185" s="76">
        <v>79.6</v>
      </c>
      <c r="AJ185" s="76">
        <v>20.4</v>
      </c>
      <c r="AK185" s="76">
        <v>24.1</v>
      </c>
      <c r="AL185" s="76">
        <v>29.3</v>
      </c>
      <c r="AM185" s="76">
        <v>10.6</v>
      </c>
      <c r="AN185" s="76">
        <v>7.4</v>
      </c>
      <c r="AO185" s="76">
        <v>12</v>
      </c>
      <c r="AP185" s="76">
        <v>34.4</v>
      </c>
      <c r="AQ185" s="76">
        <v>39.3</v>
      </c>
      <c r="AR185" s="76">
        <v>50</v>
      </c>
      <c r="AS185" s="76">
        <v>38.3</v>
      </c>
      <c r="AT185" s="76">
        <v>104.7</v>
      </c>
      <c r="AU185" s="76"/>
    </row>
    <row r="186" spans="1:47" s="1" customFormat="1" ht="12.75">
      <c r="A186" s="3" t="s">
        <v>111</v>
      </c>
      <c r="B186" s="76" t="s">
        <v>92</v>
      </c>
      <c r="C186" s="76" t="s">
        <v>92</v>
      </c>
      <c r="D186" s="76" t="s">
        <v>92</v>
      </c>
      <c r="E186" s="76" t="s">
        <v>92</v>
      </c>
      <c r="F186" s="76" t="s">
        <v>92</v>
      </c>
      <c r="G186" s="76" t="s">
        <v>92</v>
      </c>
      <c r="H186" s="76" t="s">
        <v>92</v>
      </c>
      <c r="I186" s="76" t="s">
        <v>92</v>
      </c>
      <c r="J186" s="76" t="s">
        <v>92</v>
      </c>
      <c r="K186" s="76" t="s">
        <v>92</v>
      </c>
      <c r="L186" s="76" t="s">
        <v>92</v>
      </c>
      <c r="M186" s="76" t="s">
        <v>92</v>
      </c>
      <c r="N186" s="76" t="s">
        <v>92</v>
      </c>
      <c r="O186" s="76" t="s">
        <v>92</v>
      </c>
      <c r="P186" s="76" t="s">
        <v>92</v>
      </c>
      <c r="Q186" s="76" t="s">
        <v>92</v>
      </c>
      <c r="R186" s="76" t="s">
        <v>92</v>
      </c>
      <c r="S186" s="76" t="s">
        <v>92</v>
      </c>
      <c r="T186" s="76" t="s">
        <v>92</v>
      </c>
      <c r="U186" s="76" t="s">
        <v>92</v>
      </c>
      <c r="V186" s="76" t="s">
        <v>92</v>
      </c>
      <c r="W186" s="76" t="s">
        <v>92</v>
      </c>
      <c r="X186" s="76">
        <v>0</v>
      </c>
      <c r="Y186" s="76">
        <v>0</v>
      </c>
      <c r="Z186" s="76">
        <v>0</v>
      </c>
      <c r="AA186" s="76">
        <v>0</v>
      </c>
      <c r="AB186" s="76">
        <v>29</v>
      </c>
      <c r="AC186" s="76">
        <v>60.8</v>
      </c>
      <c r="AD186" s="76">
        <v>41.8</v>
      </c>
      <c r="AE186" s="76">
        <v>143.3</v>
      </c>
      <c r="AF186" s="76">
        <v>17</v>
      </c>
      <c r="AG186" s="76">
        <v>77.3</v>
      </c>
      <c r="AH186" s="76">
        <v>82.8</v>
      </c>
      <c r="AI186" s="76">
        <v>131.6</v>
      </c>
      <c r="AJ186" s="76">
        <v>140.6</v>
      </c>
      <c r="AK186" s="76">
        <v>106.8</v>
      </c>
      <c r="AL186" s="76">
        <v>64.2</v>
      </c>
      <c r="AM186" s="76">
        <v>40.6</v>
      </c>
      <c r="AN186" s="76">
        <v>41.2</v>
      </c>
      <c r="AO186" s="76">
        <v>28.2</v>
      </c>
      <c r="AP186" s="76">
        <v>85.1</v>
      </c>
      <c r="AQ186" s="76">
        <v>85.4</v>
      </c>
      <c r="AR186" s="76"/>
      <c r="AS186" s="76"/>
      <c r="AT186" s="76"/>
      <c r="AU186" s="76"/>
    </row>
    <row r="187" spans="1:47" s="1" customFormat="1" ht="12.75">
      <c r="A187" s="3" t="s">
        <v>112</v>
      </c>
      <c r="B187" s="76" t="s">
        <v>92</v>
      </c>
      <c r="C187" s="76" t="s">
        <v>92</v>
      </c>
      <c r="D187" s="76" t="s">
        <v>92</v>
      </c>
      <c r="E187" s="76" t="s">
        <v>92</v>
      </c>
      <c r="F187" s="76" t="s">
        <v>92</v>
      </c>
      <c r="G187" s="76" t="s">
        <v>92</v>
      </c>
      <c r="H187" s="76" t="s">
        <v>92</v>
      </c>
      <c r="I187" s="76" t="s">
        <v>92</v>
      </c>
      <c r="J187" s="76" t="s">
        <v>92</v>
      </c>
      <c r="K187" s="76" t="s">
        <v>92</v>
      </c>
      <c r="L187" s="76" t="s">
        <v>92</v>
      </c>
      <c r="M187" s="76" t="s">
        <v>92</v>
      </c>
      <c r="N187" s="76" t="s">
        <v>92</v>
      </c>
      <c r="O187" s="76" t="s">
        <v>92</v>
      </c>
      <c r="P187" s="76" t="s">
        <v>92</v>
      </c>
      <c r="Q187" s="76" t="s">
        <v>92</v>
      </c>
      <c r="R187" s="76" t="s">
        <v>92</v>
      </c>
      <c r="S187" s="76" t="s">
        <v>92</v>
      </c>
      <c r="T187" s="76" t="s">
        <v>92</v>
      </c>
      <c r="U187" s="76" t="s">
        <v>92</v>
      </c>
      <c r="V187" s="76" t="s">
        <v>92</v>
      </c>
      <c r="W187" s="76" t="s">
        <v>92</v>
      </c>
      <c r="X187" s="76" t="s">
        <v>92</v>
      </c>
      <c r="Y187" s="76" t="s">
        <v>92</v>
      </c>
      <c r="Z187" s="76" t="s">
        <v>92</v>
      </c>
      <c r="AA187" s="76" t="s">
        <v>92</v>
      </c>
      <c r="AB187" s="76" t="s">
        <v>92</v>
      </c>
      <c r="AC187" s="76" t="s">
        <v>92</v>
      </c>
      <c r="AD187" s="76">
        <v>0.3</v>
      </c>
      <c r="AE187" s="76">
        <v>0.4</v>
      </c>
      <c r="AF187" s="76">
        <v>0.5</v>
      </c>
      <c r="AG187" s="76">
        <v>75.2</v>
      </c>
      <c r="AH187" s="76">
        <v>225.2</v>
      </c>
      <c r="AI187" s="76">
        <v>205.1</v>
      </c>
      <c r="AJ187" s="76">
        <v>167</v>
      </c>
      <c r="AK187" s="76">
        <v>137.6</v>
      </c>
      <c r="AL187" s="76">
        <v>41.6</v>
      </c>
      <c r="AM187" s="76">
        <v>59.1</v>
      </c>
      <c r="AN187" s="76">
        <v>48.3</v>
      </c>
      <c r="AO187" s="76">
        <v>5.6</v>
      </c>
      <c r="AP187" s="76">
        <v>0</v>
      </c>
      <c r="AQ187" s="76">
        <v>0</v>
      </c>
      <c r="AR187" s="76"/>
      <c r="AS187" s="76"/>
      <c r="AT187" s="76"/>
      <c r="AU187" s="76"/>
    </row>
    <row r="188" spans="1:47" s="1" customFormat="1" ht="12.75">
      <c r="A188" s="3" t="s">
        <v>113</v>
      </c>
      <c r="B188" s="76" t="s">
        <v>92</v>
      </c>
      <c r="C188" s="76" t="s">
        <v>92</v>
      </c>
      <c r="D188" s="76" t="s">
        <v>92</v>
      </c>
      <c r="E188" s="76" t="s">
        <v>92</v>
      </c>
      <c r="F188" s="76" t="s">
        <v>92</v>
      </c>
      <c r="G188" s="76" t="s">
        <v>92</v>
      </c>
      <c r="H188" s="76" t="s">
        <v>92</v>
      </c>
      <c r="I188" s="76" t="s">
        <v>92</v>
      </c>
      <c r="J188" s="76" t="s">
        <v>92</v>
      </c>
      <c r="K188" s="76" t="s">
        <v>92</v>
      </c>
      <c r="L188" s="76" t="s">
        <v>92</v>
      </c>
      <c r="M188" s="76" t="s">
        <v>92</v>
      </c>
      <c r="N188" s="76" t="s">
        <v>92</v>
      </c>
      <c r="O188" s="76" t="s">
        <v>92</v>
      </c>
      <c r="P188" s="76" t="s">
        <v>92</v>
      </c>
      <c r="Q188" s="76" t="s">
        <v>92</v>
      </c>
      <c r="R188" s="76" t="s">
        <v>92</v>
      </c>
      <c r="S188" s="76" t="s">
        <v>92</v>
      </c>
      <c r="T188" s="76" t="s">
        <v>92</v>
      </c>
      <c r="U188" s="76" t="s">
        <v>92</v>
      </c>
      <c r="V188" s="76" t="s">
        <v>92</v>
      </c>
      <c r="W188" s="76" t="s">
        <v>92</v>
      </c>
      <c r="X188" s="76" t="s">
        <v>92</v>
      </c>
      <c r="Y188" s="76" t="s">
        <v>92</v>
      </c>
      <c r="Z188" s="76" t="s">
        <v>92</v>
      </c>
      <c r="AA188" s="76" t="s">
        <v>92</v>
      </c>
      <c r="AB188" s="76" t="s">
        <v>92</v>
      </c>
      <c r="AC188" s="76" t="s">
        <v>92</v>
      </c>
      <c r="AD188" s="76">
        <v>42.8</v>
      </c>
      <c r="AE188" s="76">
        <v>12.6</v>
      </c>
      <c r="AF188" s="76">
        <v>20.9</v>
      </c>
      <c r="AG188" s="76">
        <v>14.1</v>
      </c>
      <c r="AH188" s="76">
        <v>29.1</v>
      </c>
      <c r="AI188" s="76">
        <v>142.6</v>
      </c>
      <c r="AJ188" s="76">
        <v>398.8</v>
      </c>
      <c r="AK188" s="76">
        <v>340.5</v>
      </c>
      <c r="AL188" s="76">
        <v>168.9</v>
      </c>
      <c r="AM188" s="76">
        <v>69.9</v>
      </c>
      <c r="AN188" s="76">
        <v>183.9</v>
      </c>
      <c r="AO188" s="76">
        <v>138.6</v>
      </c>
      <c r="AP188" s="76">
        <v>219.4</v>
      </c>
      <c r="AQ188" s="76">
        <v>300.8</v>
      </c>
      <c r="AR188" s="76">
        <v>278.1</v>
      </c>
      <c r="AS188" s="76">
        <v>350.4</v>
      </c>
      <c r="AT188" s="76">
        <v>318.3</v>
      </c>
      <c r="AU188" s="76"/>
    </row>
    <row r="189" spans="1:47" s="1" customFormat="1" ht="12.75">
      <c r="A189" s="3" t="s">
        <v>114</v>
      </c>
      <c r="B189" s="76" t="s">
        <v>92</v>
      </c>
      <c r="C189" s="76" t="s">
        <v>92</v>
      </c>
      <c r="D189" s="76" t="s">
        <v>92</v>
      </c>
      <c r="E189" s="76" t="s">
        <v>92</v>
      </c>
      <c r="F189" s="76" t="s">
        <v>92</v>
      </c>
      <c r="G189" s="76" t="s">
        <v>92</v>
      </c>
      <c r="H189" s="76" t="s">
        <v>92</v>
      </c>
      <c r="I189" s="76" t="s">
        <v>92</v>
      </c>
      <c r="J189" s="76" t="s">
        <v>92</v>
      </c>
      <c r="K189" s="76" t="s">
        <v>92</v>
      </c>
      <c r="L189" s="76" t="s">
        <v>92</v>
      </c>
      <c r="M189" s="76" t="s">
        <v>92</v>
      </c>
      <c r="N189" s="76" t="s">
        <v>92</v>
      </c>
      <c r="O189" s="76" t="s">
        <v>92</v>
      </c>
      <c r="P189" s="76" t="s">
        <v>92</v>
      </c>
      <c r="Q189" s="76" t="s">
        <v>92</v>
      </c>
      <c r="R189" s="76" t="s">
        <v>92</v>
      </c>
      <c r="S189" s="76" t="s">
        <v>92</v>
      </c>
      <c r="T189" s="76" t="s">
        <v>92</v>
      </c>
      <c r="U189" s="76" t="s">
        <v>92</v>
      </c>
      <c r="V189" s="76" t="s">
        <v>92</v>
      </c>
      <c r="W189" s="76" t="s">
        <v>92</v>
      </c>
      <c r="X189" s="76" t="s">
        <v>92</v>
      </c>
      <c r="Y189" s="76" t="s">
        <v>92</v>
      </c>
      <c r="Z189" s="76" t="s">
        <v>92</v>
      </c>
      <c r="AA189" s="76" t="s">
        <v>92</v>
      </c>
      <c r="AB189" s="76" t="s">
        <v>92</v>
      </c>
      <c r="AC189" s="76" t="s">
        <v>92</v>
      </c>
      <c r="AD189" s="76">
        <v>0</v>
      </c>
      <c r="AE189" s="76">
        <v>0</v>
      </c>
      <c r="AF189" s="76">
        <v>0</v>
      </c>
      <c r="AG189" s="76">
        <v>0</v>
      </c>
      <c r="AH189" s="76">
        <v>0</v>
      </c>
      <c r="AI189" s="76">
        <v>47.8</v>
      </c>
      <c r="AJ189" s="76">
        <v>45</v>
      </c>
      <c r="AK189" s="76">
        <v>74.4</v>
      </c>
      <c r="AL189" s="76">
        <v>96.8</v>
      </c>
      <c r="AM189" s="76">
        <v>112.8</v>
      </c>
      <c r="AN189" s="76">
        <v>152.1</v>
      </c>
      <c r="AO189" s="76">
        <v>183.4</v>
      </c>
      <c r="AP189" s="76">
        <v>150.7</v>
      </c>
      <c r="AQ189" s="76">
        <v>203.4</v>
      </c>
      <c r="AR189" s="76"/>
      <c r="AS189" s="76"/>
      <c r="AT189" s="76"/>
      <c r="AU189" s="76"/>
    </row>
    <row r="190" spans="1:47" s="1" customFormat="1" ht="12.75">
      <c r="A190" s="3" t="s">
        <v>115</v>
      </c>
      <c r="B190" s="76" t="s">
        <v>92</v>
      </c>
      <c r="C190" s="76" t="s">
        <v>92</v>
      </c>
      <c r="D190" s="76" t="s">
        <v>92</v>
      </c>
      <c r="E190" s="76" t="s">
        <v>92</v>
      </c>
      <c r="F190" s="76" t="s">
        <v>92</v>
      </c>
      <c r="G190" s="76" t="s">
        <v>92</v>
      </c>
      <c r="H190" s="76" t="s">
        <v>92</v>
      </c>
      <c r="I190" s="76" t="s">
        <v>92</v>
      </c>
      <c r="J190" s="76" t="s">
        <v>92</v>
      </c>
      <c r="K190" s="76" t="s">
        <v>92</v>
      </c>
      <c r="L190" s="76" t="s">
        <v>92</v>
      </c>
      <c r="M190" s="76" t="s">
        <v>92</v>
      </c>
      <c r="N190" s="76" t="s">
        <v>92</v>
      </c>
      <c r="O190" s="76">
        <v>1.8</v>
      </c>
      <c r="P190" s="76">
        <v>3</v>
      </c>
      <c r="Q190" s="76">
        <v>3.4</v>
      </c>
      <c r="R190" s="76">
        <v>5</v>
      </c>
      <c r="S190" s="76">
        <v>11.3</v>
      </c>
      <c r="T190" s="76">
        <v>11.3</v>
      </c>
      <c r="U190" s="76">
        <v>7.7</v>
      </c>
      <c r="V190" s="76">
        <v>2.5</v>
      </c>
      <c r="W190" s="76">
        <v>2.7</v>
      </c>
      <c r="X190" s="76" t="s">
        <v>92</v>
      </c>
      <c r="Y190" s="76">
        <v>0</v>
      </c>
      <c r="Z190" s="76" t="s">
        <v>92</v>
      </c>
      <c r="AA190" s="76" t="s">
        <v>92</v>
      </c>
      <c r="AB190" s="76" t="s">
        <v>92</v>
      </c>
      <c r="AC190" s="76" t="s">
        <v>92</v>
      </c>
      <c r="AD190" s="76" t="s">
        <v>92</v>
      </c>
      <c r="AE190" s="76" t="s">
        <v>92</v>
      </c>
      <c r="AF190" s="76" t="s">
        <v>92</v>
      </c>
      <c r="AG190" s="76" t="s">
        <v>92</v>
      </c>
      <c r="AH190" s="76" t="s">
        <v>92</v>
      </c>
      <c r="AI190" s="76" t="s">
        <v>92</v>
      </c>
      <c r="AJ190" s="76" t="s">
        <v>92</v>
      </c>
      <c r="AK190" s="76" t="s">
        <v>92</v>
      </c>
      <c r="AL190" s="76" t="s">
        <v>92</v>
      </c>
      <c r="AM190" s="76" t="s">
        <v>92</v>
      </c>
      <c r="AN190" s="76" t="s">
        <v>92</v>
      </c>
      <c r="AO190" s="76" t="s">
        <v>92</v>
      </c>
      <c r="AP190" s="76" t="s">
        <v>92</v>
      </c>
      <c r="AQ190" s="76" t="s">
        <v>92</v>
      </c>
      <c r="AR190" s="76" t="s">
        <v>92</v>
      </c>
      <c r="AS190" s="76" t="s">
        <v>92</v>
      </c>
      <c r="AT190" s="76" t="s">
        <v>92</v>
      </c>
      <c r="AU190" s="76" t="s">
        <v>92</v>
      </c>
    </row>
    <row r="191" spans="1:47" s="1" customFormat="1" ht="12.75">
      <c r="A191" s="26" t="s">
        <v>116</v>
      </c>
      <c r="B191" s="76" t="s">
        <v>92</v>
      </c>
      <c r="C191" s="76" t="s">
        <v>92</v>
      </c>
      <c r="D191" s="76" t="s">
        <v>92</v>
      </c>
      <c r="E191" s="76" t="s">
        <v>92</v>
      </c>
      <c r="F191" s="76" t="s">
        <v>92</v>
      </c>
      <c r="G191" s="76">
        <v>0.1</v>
      </c>
      <c r="H191" s="76">
        <v>0.2</v>
      </c>
      <c r="I191" s="76">
        <v>0.6</v>
      </c>
      <c r="J191" s="76">
        <v>3.6</v>
      </c>
      <c r="K191" s="76">
        <v>5.2</v>
      </c>
      <c r="L191" s="76">
        <v>4</v>
      </c>
      <c r="M191" s="76">
        <v>2.6</v>
      </c>
      <c r="N191" s="76">
        <v>5.9</v>
      </c>
      <c r="O191" s="76" t="s">
        <v>92</v>
      </c>
      <c r="P191" s="76" t="s">
        <v>92</v>
      </c>
      <c r="Q191" s="76" t="s">
        <v>92</v>
      </c>
      <c r="R191" s="76" t="s">
        <v>92</v>
      </c>
      <c r="S191" s="76" t="s">
        <v>92</v>
      </c>
      <c r="T191" s="76" t="s">
        <v>92</v>
      </c>
      <c r="U191" s="76" t="s">
        <v>92</v>
      </c>
      <c r="V191" s="76" t="s">
        <v>92</v>
      </c>
      <c r="W191" s="76" t="s">
        <v>92</v>
      </c>
      <c r="X191" s="76" t="s">
        <v>92</v>
      </c>
      <c r="Y191" s="76" t="s">
        <v>92</v>
      </c>
      <c r="Z191" s="76" t="s">
        <v>92</v>
      </c>
      <c r="AA191" s="76" t="s">
        <v>92</v>
      </c>
      <c r="AB191" s="76" t="s">
        <v>92</v>
      </c>
      <c r="AC191" s="76" t="s">
        <v>92</v>
      </c>
      <c r="AD191" s="76" t="s">
        <v>92</v>
      </c>
      <c r="AE191" s="76" t="s">
        <v>92</v>
      </c>
      <c r="AF191" s="76" t="s">
        <v>92</v>
      </c>
      <c r="AG191" s="76" t="s">
        <v>92</v>
      </c>
      <c r="AH191" s="76" t="s">
        <v>92</v>
      </c>
      <c r="AI191" s="76" t="s">
        <v>92</v>
      </c>
      <c r="AJ191" s="76" t="s">
        <v>92</v>
      </c>
      <c r="AK191" s="76" t="s">
        <v>92</v>
      </c>
      <c r="AL191" s="76" t="s">
        <v>92</v>
      </c>
      <c r="AM191" s="76" t="s">
        <v>92</v>
      </c>
      <c r="AN191" s="76" t="s">
        <v>92</v>
      </c>
      <c r="AO191" s="76" t="s">
        <v>92</v>
      </c>
      <c r="AP191" s="76" t="s">
        <v>92</v>
      </c>
      <c r="AQ191" s="76" t="s">
        <v>92</v>
      </c>
      <c r="AR191" s="76" t="s">
        <v>92</v>
      </c>
      <c r="AS191" s="76" t="s">
        <v>92</v>
      </c>
      <c r="AT191" s="76" t="s">
        <v>92</v>
      </c>
      <c r="AU191" s="76" t="s">
        <v>92</v>
      </c>
    </row>
    <row r="192" spans="1:47" s="1" customFormat="1" ht="12.75">
      <c r="A192" s="3" t="s">
        <v>101</v>
      </c>
      <c r="B192" s="76">
        <f>3.5+0.7</f>
        <v>4.2</v>
      </c>
      <c r="C192" s="76">
        <f>5+0.8</f>
        <v>5.8</v>
      </c>
      <c r="D192" s="76">
        <f>8.9+0.7</f>
        <v>9.6</v>
      </c>
      <c r="E192" s="76">
        <f>8.5+0.7</f>
        <v>9.2</v>
      </c>
      <c r="F192" s="76">
        <f>4.7+0.8</f>
        <v>5.5</v>
      </c>
      <c r="G192" s="76">
        <f>8.7+1.1</f>
        <v>9.799999999999999</v>
      </c>
      <c r="H192" s="76">
        <f>5.4+1.6</f>
        <v>7</v>
      </c>
      <c r="I192" s="76">
        <f>4.2+1.8</f>
        <v>6</v>
      </c>
      <c r="J192" s="76">
        <f>7.5+1</f>
        <v>8.5</v>
      </c>
      <c r="K192" s="76">
        <v>2.8</v>
      </c>
      <c r="L192" s="76">
        <v>3.2</v>
      </c>
      <c r="M192" s="76">
        <v>4</v>
      </c>
      <c r="N192" s="76">
        <v>4.9</v>
      </c>
      <c r="O192" s="76">
        <v>13.9</v>
      </c>
      <c r="P192" s="76">
        <v>22.1</v>
      </c>
      <c r="Q192" s="76">
        <v>48.9</v>
      </c>
      <c r="R192" s="76">
        <v>31.7</v>
      </c>
      <c r="S192" s="76">
        <v>31.4</v>
      </c>
      <c r="T192" s="76">
        <v>42.8</v>
      </c>
      <c r="U192" s="76">
        <v>67.6</v>
      </c>
      <c r="V192" s="76">
        <v>40.2</v>
      </c>
      <c r="W192" s="76">
        <v>7.4</v>
      </c>
      <c r="X192" s="76">
        <v>3.5</v>
      </c>
      <c r="Y192" s="76">
        <v>4.6</v>
      </c>
      <c r="Z192" s="76">
        <v>8.5</v>
      </c>
      <c r="AA192" s="76">
        <v>6.9</v>
      </c>
      <c r="AB192" s="76">
        <v>17.6</v>
      </c>
      <c r="AC192" s="76">
        <v>14.8</v>
      </c>
      <c r="AD192" s="76">
        <v>0</v>
      </c>
      <c r="AE192" s="76">
        <v>29.9</v>
      </c>
      <c r="AF192" s="76">
        <v>32.5</v>
      </c>
      <c r="AG192" s="76">
        <v>36.6</v>
      </c>
      <c r="AH192" s="76">
        <v>229.4</v>
      </c>
      <c r="AI192" s="76">
        <v>258.1</v>
      </c>
      <c r="AJ192" s="76">
        <v>315.2</v>
      </c>
      <c r="AK192" s="76">
        <v>578.3</v>
      </c>
      <c r="AL192" s="76">
        <v>560.8</v>
      </c>
      <c r="AM192" s="76">
        <v>746.8</v>
      </c>
      <c r="AN192" s="76">
        <v>891.4</v>
      </c>
      <c r="AO192" s="76">
        <v>951.6</v>
      </c>
      <c r="AP192" s="76">
        <v>1103.1</v>
      </c>
      <c r="AQ192" s="76">
        <v>1438.7</v>
      </c>
      <c r="AR192" s="76">
        <v>778.8</v>
      </c>
      <c r="AS192" s="76">
        <v>977.7</v>
      </c>
      <c r="AT192" s="76">
        <v>1088.4</v>
      </c>
      <c r="AU192" s="76"/>
    </row>
    <row r="193" spans="1:47" s="1" customFormat="1" ht="12.75">
      <c r="A193" s="3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</row>
    <row r="194" spans="1:47" s="12" customFormat="1" ht="14.25">
      <c r="A194" s="54" t="s">
        <v>117</v>
      </c>
      <c r="B194" s="175">
        <f>B163+B177+B179</f>
        <v>102.69999999999999</v>
      </c>
      <c r="C194" s="175">
        <f>C163+C177+C179</f>
        <v>111.5</v>
      </c>
      <c r="D194" s="175">
        <f aca="true" t="shared" si="171" ref="D194:S194">D163+D177+D179</f>
        <v>127.89999999999999</v>
      </c>
      <c r="E194" s="175">
        <f t="shared" si="171"/>
        <v>114.69999999999999</v>
      </c>
      <c r="F194" s="175">
        <f t="shared" si="171"/>
        <v>128.20000000000002</v>
      </c>
      <c r="G194" s="175">
        <f t="shared" si="171"/>
        <v>153.1</v>
      </c>
      <c r="H194" s="175">
        <f t="shared" si="171"/>
        <v>180.79999999999998</v>
      </c>
      <c r="I194" s="175">
        <f t="shared" si="171"/>
        <v>157.5</v>
      </c>
      <c r="J194" s="175">
        <f t="shared" si="171"/>
        <v>181.8</v>
      </c>
      <c r="K194" s="175">
        <f t="shared" si="171"/>
        <v>216.90000000000003</v>
      </c>
      <c r="L194" s="175">
        <f t="shared" si="171"/>
        <v>244.69999999999996</v>
      </c>
      <c r="M194" s="175">
        <f t="shared" si="171"/>
        <v>272.59999999999997</v>
      </c>
      <c r="N194" s="175">
        <f t="shared" si="171"/>
        <v>334.59999999999997</v>
      </c>
      <c r="O194" s="175">
        <f t="shared" si="171"/>
        <v>439.8</v>
      </c>
      <c r="P194" s="175">
        <f t="shared" si="171"/>
        <v>634.7</v>
      </c>
      <c r="Q194" s="175">
        <f t="shared" si="171"/>
        <v>581.5</v>
      </c>
      <c r="R194" s="175">
        <f t="shared" si="171"/>
        <v>592.2</v>
      </c>
      <c r="S194" s="175">
        <f t="shared" si="171"/>
        <v>539.9</v>
      </c>
      <c r="T194" s="175">
        <f aca="true" t="shared" si="172" ref="T194:AI194">T163+T177+T179</f>
        <v>625.2</v>
      </c>
      <c r="U194" s="175">
        <f t="shared" si="172"/>
        <v>542.8</v>
      </c>
      <c r="V194" s="175">
        <f t="shared" si="172"/>
        <v>811.8</v>
      </c>
      <c r="W194" s="175">
        <f t="shared" si="172"/>
        <v>645.1999999999999</v>
      </c>
      <c r="X194" s="175">
        <f t="shared" si="172"/>
        <v>339.5</v>
      </c>
      <c r="Y194" s="175">
        <f t="shared" si="172"/>
        <v>283.70000000000005</v>
      </c>
      <c r="Z194" s="175">
        <f t="shared" si="172"/>
        <v>356.6000000000001</v>
      </c>
      <c r="AA194" s="175">
        <f t="shared" si="172"/>
        <v>361.20000000000005</v>
      </c>
      <c r="AB194" s="175">
        <f t="shared" si="172"/>
        <v>465.00000000000006</v>
      </c>
      <c r="AC194" s="175">
        <f t="shared" si="172"/>
        <v>915.5000000000002</v>
      </c>
      <c r="AD194" s="175">
        <f t="shared" si="172"/>
        <v>1160.8</v>
      </c>
      <c r="AE194" s="175">
        <f t="shared" si="172"/>
        <v>1035.8</v>
      </c>
      <c r="AF194" s="175">
        <f t="shared" si="172"/>
        <v>1043.8999999999999</v>
      </c>
      <c r="AG194" s="175">
        <f t="shared" si="172"/>
        <v>1312.2</v>
      </c>
      <c r="AH194" s="175">
        <f t="shared" si="172"/>
        <v>2648.7</v>
      </c>
      <c r="AI194" s="175">
        <f t="shared" si="172"/>
        <v>2987.6999999999994</v>
      </c>
      <c r="AJ194" s="175">
        <f aca="true" t="shared" si="173" ref="AJ194:AQ194">AJ163+AJ177+AJ179</f>
        <v>3746.8</v>
      </c>
      <c r="AK194" s="175">
        <f t="shared" si="173"/>
        <v>4824.5</v>
      </c>
      <c r="AL194" s="175">
        <f t="shared" si="173"/>
        <v>3250.7</v>
      </c>
      <c r="AM194" s="175">
        <f t="shared" si="173"/>
        <v>3105.7</v>
      </c>
      <c r="AN194" s="175">
        <f t="shared" si="173"/>
        <v>2875.6</v>
      </c>
      <c r="AO194" s="175">
        <f t="shared" si="173"/>
        <v>3013.3</v>
      </c>
      <c r="AP194" s="175">
        <f t="shared" si="173"/>
        <v>3361.9999999999995</v>
      </c>
      <c r="AQ194" s="175">
        <f t="shared" si="173"/>
        <v>3916.8</v>
      </c>
      <c r="AR194" s="175">
        <f>AR163+AR177+AR179</f>
        <v>3703.3999999999996</v>
      </c>
      <c r="AS194" s="175">
        <f>AS163+AS177+AS179</f>
        <v>2779.8</v>
      </c>
      <c r="AT194" s="175">
        <f>AT163+AT177+AT179</f>
        <v>3292.6000000000004</v>
      </c>
      <c r="AU194" s="175">
        <f>AU163+AU177+AU179</f>
        <v>0</v>
      </c>
    </row>
    <row r="195" s="2" customFormat="1" ht="12.75">
      <c r="A195" s="4"/>
    </row>
    <row r="196" s="91" customFormat="1" ht="11.25" customHeight="1">
      <c r="A196" s="90"/>
    </row>
    <row r="197" s="2" customFormat="1" ht="12.75">
      <c r="A197" s="24" t="s">
        <v>118</v>
      </c>
    </row>
    <row r="198" s="2" customFormat="1" ht="12.75">
      <c r="A198" s="4"/>
    </row>
    <row r="199" spans="1:47" s="7" customFormat="1" ht="12.75">
      <c r="A199" s="13" t="s">
        <v>119</v>
      </c>
      <c r="B199" s="7">
        <f>B201+B209+B211+B213</f>
        <v>71.399</v>
      </c>
      <c r="C199" s="7">
        <f aca="true" t="shared" si="174" ref="C199:R199">C201+C209+C211+C213</f>
        <v>62.95300000000001</v>
      </c>
      <c r="D199" s="7">
        <f t="shared" si="174"/>
        <v>69.19200000000001</v>
      </c>
      <c r="E199" s="7">
        <f t="shared" si="174"/>
        <v>61.169999999999995</v>
      </c>
      <c r="F199" s="7">
        <f t="shared" si="174"/>
        <v>74.56800000000001</v>
      </c>
      <c r="G199" s="7">
        <f t="shared" si="174"/>
        <v>86.42000000000002</v>
      </c>
      <c r="H199" s="7">
        <f t="shared" si="174"/>
        <v>101.933</v>
      </c>
      <c r="I199" s="7">
        <f t="shared" si="174"/>
        <v>83.755</v>
      </c>
      <c r="J199" s="7">
        <f t="shared" si="174"/>
        <v>86.02099999999999</v>
      </c>
      <c r="K199" s="7">
        <f t="shared" si="174"/>
        <v>107.23599999999999</v>
      </c>
      <c r="L199" s="7">
        <f t="shared" si="174"/>
        <v>117.79999999999998</v>
      </c>
      <c r="M199" s="7">
        <f t="shared" si="174"/>
        <v>138.549</v>
      </c>
      <c r="N199" s="7">
        <f t="shared" si="174"/>
        <v>168.518</v>
      </c>
      <c r="O199" s="7">
        <f t="shared" si="174"/>
        <v>220.19199999999998</v>
      </c>
      <c r="P199" s="7">
        <f t="shared" si="174"/>
        <v>349.415</v>
      </c>
      <c r="Q199" s="7">
        <f t="shared" si="174"/>
        <v>294.879</v>
      </c>
      <c r="R199" s="7">
        <f t="shared" si="174"/>
        <v>292.909</v>
      </c>
      <c r="S199" s="7">
        <f aca="true" t="shared" si="175" ref="S199:AH199">S201+S209+S211+S213</f>
        <v>280.53</v>
      </c>
      <c r="T199" s="7">
        <f t="shared" si="175"/>
        <v>273.203</v>
      </c>
      <c r="U199" s="7">
        <f t="shared" si="175"/>
        <v>297.277</v>
      </c>
      <c r="V199" s="7">
        <f t="shared" si="175"/>
        <v>216.76399999999998</v>
      </c>
      <c r="W199" s="7">
        <f t="shared" si="175"/>
        <v>122.36000000000001</v>
      </c>
      <c r="X199" s="7">
        <f t="shared" si="175"/>
        <v>111.054</v>
      </c>
      <c r="Y199" s="7">
        <f t="shared" si="175"/>
        <v>99.99600000000001</v>
      </c>
      <c r="Z199" s="7">
        <f t="shared" si="175"/>
        <v>84.36600000000001</v>
      </c>
      <c r="AA199" s="7">
        <f t="shared" si="175"/>
        <v>145.19899999999998</v>
      </c>
      <c r="AB199" s="7">
        <f t="shared" si="175"/>
        <v>195.11900000000003</v>
      </c>
      <c r="AC199" s="7">
        <f t="shared" si="175"/>
        <v>240.32199999999995</v>
      </c>
      <c r="AD199" s="7">
        <f t="shared" si="175"/>
        <v>325.1040000000001</v>
      </c>
      <c r="AE199" s="7">
        <f t="shared" si="175"/>
        <v>388.98100000000005</v>
      </c>
      <c r="AF199" s="7">
        <f t="shared" si="175"/>
        <v>307.541</v>
      </c>
      <c r="AG199" s="7">
        <f t="shared" si="175"/>
        <v>306.68399999999997</v>
      </c>
      <c r="AH199" s="7">
        <f t="shared" si="175"/>
        <v>514.6370000000001</v>
      </c>
      <c r="AI199" s="7">
        <f aca="true" t="shared" si="176" ref="AI199:AQ199">AI201+AI209+AI211+AI213</f>
        <v>650.47</v>
      </c>
      <c r="AJ199" s="7">
        <f t="shared" si="176"/>
        <v>1089.301</v>
      </c>
      <c r="AK199" s="7">
        <f t="shared" si="176"/>
        <v>1341.5159999999998</v>
      </c>
      <c r="AL199" s="7">
        <f t="shared" si="176"/>
        <v>1033.31</v>
      </c>
      <c r="AM199" s="7">
        <f t="shared" si="176"/>
        <v>1112.782</v>
      </c>
      <c r="AN199" s="7">
        <f t="shared" si="176"/>
        <v>1194.002</v>
      </c>
      <c r="AO199" s="7">
        <f t="shared" si="176"/>
        <v>1211.5</v>
      </c>
      <c r="AP199" s="7">
        <f t="shared" si="176"/>
        <v>1396.3</v>
      </c>
      <c r="AQ199" s="7">
        <f t="shared" si="176"/>
        <v>1623.3</v>
      </c>
      <c r="AR199" s="7">
        <f>AR201+AR209+AR211+AR213</f>
        <v>1794.1</v>
      </c>
      <c r="AS199" s="7">
        <f>AS201+AS209+AS211+AS213</f>
        <v>0</v>
      </c>
      <c r="AT199" s="7">
        <f>AT201+AT209+AT211+AT213</f>
        <v>0</v>
      </c>
      <c r="AU199" s="7">
        <f>AU201+AU209+AU211+AU213</f>
        <v>0</v>
      </c>
    </row>
    <row r="200" s="7" customFormat="1" ht="12.75">
      <c r="A200" s="13"/>
    </row>
    <row r="201" spans="1:47" s="1" customFormat="1" ht="12.75">
      <c r="A201" s="3" t="s">
        <v>120</v>
      </c>
      <c r="B201" s="1">
        <f aca="true" t="shared" si="177" ref="B201:Q201">B202+B203+B204+B205+B206+B207</f>
        <v>67.407</v>
      </c>
      <c r="C201" s="1">
        <f t="shared" si="177"/>
        <v>61.87200000000001</v>
      </c>
      <c r="D201" s="1">
        <f t="shared" si="177"/>
        <v>66.524</v>
      </c>
      <c r="E201" s="1">
        <f t="shared" si="177"/>
        <v>60.324999999999996</v>
      </c>
      <c r="F201" s="1">
        <f t="shared" si="177"/>
        <v>73.016</v>
      </c>
      <c r="G201" s="1">
        <f t="shared" si="177"/>
        <v>82.644</v>
      </c>
      <c r="H201" s="1">
        <f t="shared" si="177"/>
        <v>97.10900000000001</v>
      </c>
      <c r="I201" s="1">
        <f t="shared" si="177"/>
        <v>81.253</v>
      </c>
      <c r="J201" s="1">
        <f t="shared" si="177"/>
        <v>82.86699999999999</v>
      </c>
      <c r="K201" s="1">
        <f t="shared" si="177"/>
        <v>101.848</v>
      </c>
      <c r="L201" s="1">
        <f t="shared" si="177"/>
        <v>109.791</v>
      </c>
      <c r="M201" s="1">
        <f t="shared" si="177"/>
        <v>131.775</v>
      </c>
      <c r="N201" s="1">
        <f t="shared" si="177"/>
        <v>154.507</v>
      </c>
      <c r="O201" s="1">
        <f t="shared" si="177"/>
        <v>202.39</v>
      </c>
      <c r="P201" s="1">
        <f t="shared" si="177"/>
        <v>337.06000000000006</v>
      </c>
      <c r="Q201" s="1">
        <f t="shared" si="177"/>
        <v>288.18</v>
      </c>
      <c r="R201" s="1">
        <f aca="true" t="shared" si="178" ref="R201:AG201">R202+R203+R204+R205+R206+R207</f>
        <v>287.579</v>
      </c>
      <c r="S201" s="1">
        <f t="shared" si="178"/>
        <v>273.352</v>
      </c>
      <c r="T201" s="1">
        <f t="shared" si="178"/>
        <v>259.495</v>
      </c>
      <c r="U201" s="1">
        <f t="shared" si="178"/>
        <v>287.498</v>
      </c>
      <c r="V201" s="1">
        <f t="shared" si="178"/>
        <v>207.98399999999998</v>
      </c>
      <c r="W201" s="1">
        <f t="shared" si="178"/>
        <v>119.37100000000001</v>
      </c>
      <c r="X201" s="1">
        <f t="shared" si="178"/>
        <v>107.72800000000001</v>
      </c>
      <c r="Y201" s="1">
        <f t="shared" si="178"/>
        <v>96.025</v>
      </c>
      <c r="Z201" s="1">
        <f t="shared" si="178"/>
        <v>79.39800000000001</v>
      </c>
      <c r="AA201" s="1">
        <f t="shared" si="178"/>
        <v>141.945</v>
      </c>
      <c r="AB201" s="1">
        <f t="shared" si="178"/>
        <v>190.64700000000002</v>
      </c>
      <c r="AC201" s="1">
        <f t="shared" si="178"/>
        <v>232.76099999999997</v>
      </c>
      <c r="AD201" s="1">
        <f t="shared" si="178"/>
        <v>311.8020000000001</v>
      </c>
      <c r="AE201" s="1">
        <f t="shared" si="178"/>
        <v>372.184</v>
      </c>
      <c r="AF201" s="1">
        <f t="shared" si="178"/>
        <v>293.48900000000003</v>
      </c>
      <c r="AG201" s="1">
        <f t="shared" si="178"/>
        <v>294.375</v>
      </c>
      <c r="AH201" s="1">
        <f aca="true" t="shared" si="179" ref="AH201:AM201">AH202+AH203+AH204+AH205+AH206+AH207</f>
        <v>489.22900000000004</v>
      </c>
      <c r="AI201" s="1">
        <f t="shared" si="179"/>
        <v>624.801</v>
      </c>
      <c r="AJ201" s="1">
        <f t="shared" si="179"/>
        <v>1037.935</v>
      </c>
      <c r="AK201" s="1">
        <f t="shared" si="179"/>
        <v>1208.041</v>
      </c>
      <c r="AL201" s="1">
        <f t="shared" si="179"/>
        <v>957.71</v>
      </c>
      <c r="AM201" s="1">
        <f t="shared" si="179"/>
        <v>890.87</v>
      </c>
      <c r="AN201" s="1">
        <f aca="true" t="shared" si="180" ref="AN201:AS201">AN202+AN203+AN204+AN205+AN206+AN207</f>
        <v>1080.5529999999999</v>
      </c>
      <c r="AO201" s="1">
        <f t="shared" si="180"/>
        <v>958.5</v>
      </c>
      <c r="AP201" s="1">
        <f t="shared" si="180"/>
        <v>1064.6</v>
      </c>
      <c r="AQ201" s="1">
        <v>1410.8</v>
      </c>
      <c r="AR201" s="1">
        <v>1621.6</v>
      </c>
      <c r="AS201" s="1">
        <f t="shared" si="180"/>
        <v>0</v>
      </c>
      <c r="AT201" s="1">
        <f>AT202+AT203+AT204+AT205+AT206+AT207</f>
        <v>0</v>
      </c>
      <c r="AU201" s="1">
        <f>AU202+AU203+AU204+AU205+AU206+AU207</f>
        <v>0</v>
      </c>
    </row>
    <row r="202" spans="1:44" s="2" customFormat="1" ht="12.75">
      <c r="A202" s="4" t="s">
        <v>121</v>
      </c>
      <c r="B202" s="2">
        <v>33.208</v>
      </c>
      <c r="C202" s="2">
        <v>36.798</v>
      </c>
      <c r="D202" s="2">
        <v>38.774</v>
      </c>
      <c r="E202" s="2">
        <v>31.335</v>
      </c>
      <c r="F202" s="2">
        <v>42.938</v>
      </c>
      <c r="G202" s="2">
        <v>40.007</v>
      </c>
      <c r="H202" s="2">
        <v>52.859</v>
      </c>
      <c r="I202" s="2">
        <v>31.716</v>
      </c>
      <c r="J202" s="2">
        <v>41.305</v>
      </c>
      <c r="K202" s="2">
        <v>46.332</v>
      </c>
      <c r="L202" s="2">
        <v>50.908</v>
      </c>
      <c r="M202" s="2">
        <v>57.666</v>
      </c>
      <c r="N202" s="2">
        <v>68.289</v>
      </c>
      <c r="O202" s="2">
        <v>80.875</v>
      </c>
      <c r="P202" s="2">
        <v>155.306</v>
      </c>
      <c r="Q202" s="2">
        <v>88.922</v>
      </c>
      <c r="R202" s="2">
        <v>140.114</v>
      </c>
      <c r="S202" s="2">
        <v>125.716</v>
      </c>
      <c r="T202" s="2">
        <v>105.779</v>
      </c>
      <c r="U202" s="2">
        <v>103.607</v>
      </c>
      <c r="V202" s="2">
        <v>76.803</v>
      </c>
      <c r="W202" s="2">
        <v>6.6</v>
      </c>
      <c r="X202" s="2">
        <v>3.131</v>
      </c>
      <c r="Y202" s="2">
        <v>1.935</v>
      </c>
      <c r="Z202" s="2">
        <v>5.846</v>
      </c>
      <c r="AA202" s="2">
        <v>8.358</v>
      </c>
      <c r="AB202" s="2">
        <v>18.651</v>
      </c>
      <c r="AC202" s="2">
        <v>21.549</v>
      </c>
      <c r="AD202" s="2">
        <v>20.101</v>
      </c>
      <c r="AE202" s="2">
        <v>8.62</v>
      </c>
      <c r="AF202" s="2">
        <v>11.282</v>
      </c>
      <c r="AG202" s="2">
        <v>2.567</v>
      </c>
      <c r="AH202" s="2">
        <v>16.27</v>
      </c>
      <c r="AI202" s="2">
        <v>18.043</v>
      </c>
      <c r="AJ202" s="2">
        <v>19.636</v>
      </c>
      <c r="AK202" s="2">
        <v>53.872</v>
      </c>
      <c r="AL202" s="2">
        <v>24.586</v>
      </c>
      <c r="AM202" s="2">
        <v>38.279</v>
      </c>
      <c r="AN202" s="2">
        <v>22.821</v>
      </c>
      <c r="AO202" s="2">
        <v>7.7</v>
      </c>
      <c r="AP202" s="2">
        <v>11.7</v>
      </c>
      <c r="AQ202" s="2">
        <v>30.6</v>
      </c>
      <c r="AR202" s="2">
        <v>17.4</v>
      </c>
    </row>
    <row r="203" spans="1:44" s="2" customFormat="1" ht="12.75">
      <c r="A203" s="4" t="s">
        <v>122</v>
      </c>
      <c r="B203" s="2">
        <v>11.575</v>
      </c>
      <c r="C203" s="2">
        <v>11.402</v>
      </c>
      <c r="D203" s="2">
        <v>15.125</v>
      </c>
      <c r="E203" s="2">
        <v>7.623</v>
      </c>
      <c r="F203" s="2">
        <v>8.493</v>
      </c>
      <c r="G203" s="2">
        <v>9.554</v>
      </c>
      <c r="H203" s="2">
        <v>8.929</v>
      </c>
      <c r="I203" s="2">
        <v>10.77</v>
      </c>
      <c r="J203" s="2">
        <v>11.331</v>
      </c>
      <c r="K203" s="2">
        <v>11.203</v>
      </c>
      <c r="L203" s="2">
        <v>14.762</v>
      </c>
      <c r="M203" s="2">
        <v>19.632</v>
      </c>
      <c r="N203" s="2">
        <v>27.631</v>
      </c>
      <c r="O203" s="2">
        <v>38.292</v>
      </c>
      <c r="P203" s="2">
        <v>51.786</v>
      </c>
      <c r="Q203" s="2">
        <v>51.402</v>
      </c>
      <c r="R203" s="2">
        <v>37.182</v>
      </c>
      <c r="S203" s="2">
        <v>66.329</v>
      </c>
      <c r="T203" s="2">
        <v>64.821</v>
      </c>
      <c r="U203" s="2">
        <v>101.76</v>
      </c>
      <c r="V203" s="2">
        <v>27.073</v>
      </c>
      <c r="W203" s="2">
        <v>10.825</v>
      </c>
      <c r="X203" s="2">
        <v>13.165</v>
      </c>
      <c r="Y203" s="2">
        <v>19.573</v>
      </c>
      <c r="Z203" s="2">
        <v>22.349</v>
      </c>
      <c r="AA203" s="2">
        <v>18.629</v>
      </c>
      <c r="AB203" s="2">
        <v>23.846</v>
      </c>
      <c r="AC203" s="2">
        <v>37.871</v>
      </c>
      <c r="AD203" s="2">
        <v>50.08</v>
      </c>
      <c r="AE203" s="2">
        <v>56.386</v>
      </c>
      <c r="AF203" s="2">
        <v>88.494</v>
      </c>
      <c r="AG203" s="2">
        <v>77.655</v>
      </c>
      <c r="AH203" s="2">
        <v>155.478</v>
      </c>
      <c r="AI203" s="2">
        <v>172.288</v>
      </c>
      <c r="AJ203" s="2">
        <v>161.291</v>
      </c>
      <c r="AK203" s="2">
        <v>307.807</v>
      </c>
      <c r="AL203" s="2">
        <v>330.529</v>
      </c>
      <c r="AM203" s="2">
        <v>401.083</v>
      </c>
      <c r="AN203" s="2">
        <v>451.923</v>
      </c>
      <c r="AO203" s="2">
        <v>477.7</v>
      </c>
      <c r="AP203" s="2">
        <v>414</v>
      </c>
      <c r="AQ203" s="2">
        <v>632.1</v>
      </c>
      <c r="AR203" s="2">
        <v>806.3</v>
      </c>
    </row>
    <row r="204" spans="1:44" s="2" customFormat="1" ht="12.75">
      <c r="A204" s="4" t="s">
        <v>123</v>
      </c>
      <c r="B204" s="2">
        <v>6.404</v>
      </c>
      <c r="C204" s="2">
        <v>6.371</v>
      </c>
      <c r="D204" s="2">
        <v>5.751</v>
      </c>
      <c r="E204" s="2">
        <v>5.535</v>
      </c>
      <c r="F204" s="2">
        <v>9.046</v>
      </c>
      <c r="G204" s="2">
        <v>12.276</v>
      </c>
      <c r="H204" s="2">
        <v>9.607</v>
      </c>
      <c r="I204" s="2">
        <v>14.176</v>
      </c>
      <c r="J204" s="2">
        <v>11.42</v>
      </c>
      <c r="K204" s="2">
        <v>13.374</v>
      </c>
      <c r="L204" s="2">
        <v>16.559</v>
      </c>
      <c r="M204" s="2">
        <v>14.228</v>
      </c>
      <c r="N204" s="2">
        <v>16.092</v>
      </c>
      <c r="O204" s="2">
        <v>27.527</v>
      </c>
      <c r="P204" s="2">
        <v>28.8</v>
      </c>
      <c r="Q204" s="2">
        <v>27.636</v>
      </c>
      <c r="R204" s="2">
        <v>28.36</v>
      </c>
      <c r="S204" s="2">
        <v>31.904</v>
      </c>
      <c r="T204" s="2">
        <v>47.73</v>
      </c>
      <c r="U204" s="2">
        <v>38.937</v>
      </c>
      <c r="V204" s="2">
        <v>49.112</v>
      </c>
      <c r="W204" s="2">
        <v>49.451</v>
      </c>
      <c r="X204" s="2">
        <v>53.139</v>
      </c>
      <c r="Y204" s="2">
        <v>40.615</v>
      </c>
      <c r="Z204" s="2">
        <v>34.448</v>
      </c>
      <c r="AA204" s="2">
        <v>48.734</v>
      </c>
      <c r="AB204" s="2">
        <v>60.51</v>
      </c>
      <c r="AC204" s="2">
        <v>59.997</v>
      </c>
      <c r="AD204" s="2">
        <v>102.39</v>
      </c>
      <c r="AE204" s="2">
        <v>77.429</v>
      </c>
      <c r="AF204" s="2">
        <v>90.978</v>
      </c>
      <c r="AG204" s="2">
        <v>51.049</v>
      </c>
      <c r="AH204" s="2">
        <v>61.66</v>
      </c>
      <c r="AI204" s="2">
        <v>75.568</v>
      </c>
      <c r="AJ204" s="2">
        <v>107.472</v>
      </c>
      <c r="AK204" s="2">
        <v>122.071</v>
      </c>
      <c r="AL204" s="2">
        <v>98.072</v>
      </c>
      <c r="AM204" s="2">
        <v>86.973</v>
      </c>
      <c r="AN204" s="2">
        <v>87.474</v>
      </c>
      <c r="AO204" s="2">
        <v>44.8</v>
      </c>
      <c r="AP204" s="2">
        <v>46.6</v>
      </c>
      <c r="AQ204" s="2">
        <v>31.9</v>
      </c>
      <c r="AR204" s="2">
        <v>52.4</v>
      </c>
    </row>
    <row r="205" spans="1:44" s="2" customFormat="1" ht="12.75">
      <c r="A205" s="4" t="s">
        <v>124</v>
      </c>
      <c r="B205" s="2">
        <v>4.751</v>
      </c>
      <c r="C205" s="2">
        <v>3.903</v>
      </c>
      <c r="D205" s="2">
        <v>4.49</v>
      </c>
      <c r="E205" s="2">
        <v>3.717</v>
      </c>
      <c r="F205" s="2">
        <v>4.945</v>
      </c>
      <c r="G205" s="2">
        <v>8.897</v>
      </c>
      <c r="H205" s="2">
        <v>10.943</v>
      </c>
      <c r="I205" s="2">
        <v>9.478</v>
      </c>
      <c r="J205" s="2">
        <v>7.232</v>
      </c>
      <c r="K205" s="2">
        <v>8.566</v>
      </c>
      <c r="L205" s="2">
        <v>12.587</v>
      </c>
      <c r="M205" s="2">
        <v>22.647</v>
      </c>
      <c r="N205" s="2">
        <v>20.161</v>
      </c>
      <c r="O205" s="2">
        <v>20.486</v>
      </c>
      <c r="P205" s="2">
        <v>39.302</v>
      </c>
      <c r="Q205" s="2">
        <v>50.954</v>
      </c>
      <c r="R205" s="2">
        <v>36.913</v>
      </c>
      <c r="S205" s="2">
        <v>11.864</v>
      </c>
      <c r="T205" s="2">
        <v>1.917</v>
      </c>
      <c r="U205" s="2">
        <v>11.791</v>
      </c>
      <c r="V205" s="2">
        <v>24.628</v>
      </c>
      <c r="W205" s="2">
        <v>16.53</v>
      </c>
      <c r="X205" s="2">
        <v>4.989</v>
      </c>
      <c r="Y205" s="2">
        <v>7.176</v>
      </c>
      <c r="Z205" s="2">
        <v>12.48</v>
      </c>
      <c r="AA205" s="2">
        <v>39.128</v>
      </c>
      <c r="AB205" s="2">
        <v>64.413</v>
      </c>
      <c r="AC205" s="2">
        <v>79.937</v>
      </c>
      <c r="AD205" s="2">
        <v>102.644</v>
      </c>
      <c r="AE205" s="2">
        <v>175.726</v>
      </c>
      <c r="AF205" s="2">
        <v>63.114</v>
      </c>
      <c r="AG205" s="2">
        <v>122.043</v>
      </c>
      <c r="AH205" s="2">
        <v>173.73</v>
      </c>
      <c r="AI205" s="2">
        <v>212.345</v>
      </c>
      <c r="AJ205" s="2">
        <v>311.957</v>
      </c>
      <c r="AK205" s="2">
        <v>326.377</v>
      </c>
      <c r="AL205" s="2">
        <v>218.967</v>
      </c>
      <c r="AM205" s="2">
        <v>72.687</v>
      </c>
      <c r="AN205" s="2">
        <v>129.391</v>
      </c>
      <c r="AO205" s="2">
        <v>86.2</v>
      </c>
      <c r="AP205" s="2">
        <v>181.7</v>
      </c>
      <c r="AQ205" s="2">
        <v>224.6</v>
      </c>
      <c r="AR205" s="2">
        <v>253.9</v>
      </c>
    </row>
    <row r="206" spans="1:44" s="2" customFormat="1" ht="12.75">
      <c r="A206" s="4" t="s">
        <v>125</v>
      </c>
      <c r="B206" s="2">
        <v>0.855</v>
      </c>
      <c r="C206" s="2">
        <v>0.289</v>
      </c>
      <c r="D206" s="2">
        <v>0.393</v>
      </c>
      <c r="E206" s="2">
        <v>4.502</v>
      </c>
      <c r="F206" s="2">
        <v>4.325</v>
      </c>
      <c r="G206" s="2">
        <v>8.302</v>
      </c>
      <c r="H206" s="2">
        <v>10.495</v>
      </c>
      <c r="I206" s="2">
        <v>10.59</v>
      </c>
      <c r="J206" s="2">
        <v>7.113</v>
      </c>
      <c r="K206" s="2">
        <v>17.073</v>
      </c>
      <c r="L206" s="2">
        <v>4.735</v>
      </c>
      <c r="M206" s="2">
        <v>3.048</v>
      </c>
      <c r="N206" s="2">
        <v>6.641</v>
      </c>
      <c r="O206" s="2">
        <v>8.963</v>
      </c>
      <c r="P206" s="2">
        <v>13.194</v>
      </c>
      <c r="Q206" s="2">
        <v>5.413</v>
      </c>
      <c r="R206" s="2">
        <v>1.766</v>
      </c>
      <c r="S206" s="2">
        <v>1.117</v>
      </c>
      <c r="T206" s="2">
        <v>1.881</v>
      </c>
      <c r="U206" s="2">
        <v>1.655</v>
      </c>
      <c r="V206" s="2">
        <v>1.808</v>
      </c>
      <c r="W206" s="2">
        <v>1.615</v>
      </c>
      <c r="X206" s="2">
        <v>0.665</v>
      </c>
      <c r="Y206" s="2">
        <v>0.946</v>
      </c>
      <c r="Z206" s="2">
        <v>0.997</v>
      </c>
      <c r="AA206" s="2">
        <v>0.658</v>
      </c>
      <c r="AB206" s="2">
        <v>1.222</v>
      </c>
      <c r="AC206" s="2">
        <v>5.003</v>
      </c>
      <c r="AD206" s="2">
        <v>5.922</v>
      </c>
      <c r="AE206" s="2">
        <v>4.367</v>
      </c>
      <c r="AF206" s="2">
        <v>3.48</v>
      </c>
      <c r="AG206" s="2">
        <v>5.429</v>
      </c>
      <c r="AH206" s="2">
        <v>16.447</v>
      </c>
      <c r="AI206" s="2">
        <v>25.423</v>
      </c>
      <c r="AJ206" s="2">
        <v>61.408</v>
      </c>
      <c r="AK206" s="2">
        <v>46.66</v>
      </c>
      <c r="AL206" s="2">
        <v>32.121</v>
      </c>
      <c r="AM206" s="2">
        <v>75.121</v>
      </c>
      <c r="AN206" s="2">
        <v>71.569</v>
      </c>
      <c r="AO206" s="2">
        <v>57.9</v>
      </c>
      <c r="AP206" s="2">
        <v>73.5</v>
      </c>
      <c r="AQ206" s="2">
        <v>74.8</v>
      </c>
      <c r="AR206" s="2">
        <v>91.2</v>
      </c>
    </row>
    <row r="207" spans="1:44" s="2" customFormat="1" ht="12.75">
      <c r="A207" s="4" t="s">
        <v>126</v>
      </c>
      <c r="B207" s="2">
        <v>10.614</v>
      </c>
      <c r="C207" s="2">
        <v>3.109</v>
      </c>
      <c r="D207" s="2">
        <v>1.991</v>
      </c>
      <c r="E207" s="2">
        <v>7.613</v>
      </c>
      <c r="F207" s="2">
        <v>3.269</v>
      </c>
      <c r="G207" s="2">
        <v>3.608</v>
      </c>
      <c r="H207" s="2">
        <v>4.276</v>
      </c>
      <c r="I207" s="2">
        <v>4.523</v>
      </c>
      <c r="J207" s="2">
        <v>4.466</v>
      </c>
      <c r="K207" s="2">
        <v>5.3</v>
      </c>
      <c r="L207" s="2">
        <v>10.24</v>
      </c>
      <c r="M207" s="2">
        <v>14.554</v>
      </c>
      <c r="N207" s="2">
        <v>15.693</v>
      </c>
      <c r="O207" s="2">
        <v>26.247</v>
      </c>
      <c r="P207" s="2">
        <v>48.672</v>
      </c>
      <c r="Q207" s="2">
        <v>63.853</v>
      </c>
      <c r="R207" s="2">
        <v>43.244</v>
      </c>
      <c r="S207" s="2">
        <v>36.422</v>
      </c>
      <c r="T207" s="2">
        <v>37.367</v>
      </c>
      <c r="U207" s="2">
        <v>29.748</v>
      </c>
      <c r="V207" s="2">
        <v>28.56</v>
      </c>
      <c r="W207" s="2">
        <v>34.35</v>
      </c>
      <c r="X207" s="2">
        <v>32.639</v>
      </c>
      <c r="Y207" s="2">
        <v>25.78</v>
      </c>
      <c r="Z207" s="2">
        <v>3.278</v>
      </c>
      <c r="AA207" s="2">
        <v>26.438</v>
      </c>
      <c r="AB207" s="2">
        <v>22.005</v>
      </c>
      <c r="AC207" s="2">
        <v>28.404</v>
      </c>
      <c r="AD207" s="2">
        <v>30.665</v>
      </c>
      <c r="AE207" s="2">
        <v>49.656</v>
      </c>
      <c r="AF207" s="2">
        <v>36.141</v>
      </c>
      <c r="AG207" s="2">
        <v>35.632</v>
      </c>
      <c r="AH207" s="2">
        <v>65.644</v>
      </c>
      <c r="AI207" s="2">
        <v>121.134</v>
      </c>
      <c r="AJ207" s="2">
        <v>376.171</v>
      </c>
      <c r="AK207" s="2">
        <v>351.254</v>
      </c>
      <c r="AL207" s="2">
        <v>253.435</v>
      </c>
      <c r="AM207">
        <v>216.727</v>
      </c>
      <c r="AN207" s="2">
        <v>317.375</v>
      </c>
      <c r="AO207" s="2">
        <v>284.2</v>
      </c>
      <c r="AP207" s="2">
        <v>337.1</v>
      </c>
      <c r="AQ207" s="2">
        <v>416.8</v>
      </c>
      <c r="AR207" s="2">
        <v>400.5</v>
      </c>
    </row>
    <row r="208" spans="1:38" s="2" customFormat="1" ht="12.75">
      <c r="A208" s="4"/>
      <c r="AL208" s="2" t="s">
        <v>4</v>
      </c>
    </row>
    <row r="209" spans="1:44" s="1" customFormat="1" ht="12.75">
      <c r="A209" s="3" t="s">
        <v>127</v>
      </c>
      <c r="B209" s="1">
        <v>3.11</v>
      </c>
      <c r="C209" s="1">
        <v>0.119</v>
      </c>
      <c r="D209" s="1">
        <v>1.765</v>
      </c>
      <c r="E209" s="1">
        <v>0.357</v>
      </c>
      <c r="F209" s="1">
        <v>1.161</v>
      </c>
      <c r="G209" s="1">
        <v>2.019</v>
      </c>
      <c r="H209" s="1">
        <v>1.75</v>
      </c>
      <c r="I209" s="1">
        <v>1.425</v>
      </c>
      <c r="J209" s="1">
        <v>1.472</v>
      </c>
      <c r="K209" s="1">
        <v>1.904</v>
      </c>
      <c r="L209" s="1">
        <v>2.011</v>
      </c>
      <c r="M209" s="1">
        <v>3.801</v>
      </c>
      <c r="N209" s="1">
        <v>3.82</v>
      </c>
      <c r="O209" s="1">
        <v>5.317</v>
      </c>
      <c r="P209" s="1">
        <v>4.811</v>
      </c>
      <c r="Q209" s="1">
        <v>4.768</v>
      </c>
      <c r="R209" s="1">
        <v>1.378</v>
      </c>
      <c r="S209" s="1">
        <v>3.532</v>
      </c>
      <c r="T209" s="1">
        <v>2.407</v>
      </c>
      <c r="U209" s="1">
        <v>1.044</v>
      </c>
      <c r="V209" s="1">
        <v>1.732</v>
      </c>
      <c r="W209" s="1">
        <v>0.592</v>
      </c>
      <c r="X209" s="1">
        <v>1.972</v>
      </c>
      <c r="Y209" s="1">
        <v>0.803</v>
      </c>
      <c r="Z209" s="1">
        <v>1.787</v>
      </c>
      <c r="AA209" s="1">
        <v>2.423</v>
      </c>
      <c r="AB209" s="1">
        <v>1.066</v>
      </c>
      <c r="AC209" s="1">
        <v>0.986</v>
      </c>
      <c r="AD209" s="1">
        <v>7.071</v>
      </c>
      <c r="AE209" s="1">
        <v>11.482</v>
      </c>
      <c r="AF209" s="1">
        <v>8.163</v>
      </c>
      <c r="AG209" s="1">
        <v>5.902</v>
      </c>
      <c r="AH209" s="1">
        <v>16.729</v>
      </c>
      <c r="AI209" s="1">
        <v>17.726</v>
      </c>
      <c r="AJ209" s="1">
        <v>27.297</v>
      </c>
      <c r="AK209" s="1">
        <v>37.799</v>
      </c>
      <c r="AL209" s="1">
        <v>63.669</v>
      </c>
      <c r="AM209" s="1">
        <v>183.18</v>
      </c>
      <c r="AN209" s="1">
        <v>72.582</v>
      </c>
      <c r="AO209" s="1">
        <v>81.8</v>
      </c>
      <c r="AP209" s="1">
        <v>153.9</v>
      </c>
      <c r="AQ209" s="1">
        <v>165.9</v>
      </c>
      <c r="AR209" s="1">
        <v>131.5</v>
      </c>
    </row>
    <row r="210" spans="1:38" s="2" customFormat="1" ht="12.75">
      <c r="A210" s="4" t="s">
        <v>128</v>
      </c>
      <c r="AL210" s="2" t="s">
        <v>4</v>
      </c>
    </row>
    <row r="211" spans="1:44" s="1" customFormat="1" ht="12.75">
      <c r="A211" s="3" t="s">
        <v>129</v>
      </c>
      <c r="B211" s="1">
        <v>0.879</v>
      </c>
      <c r="C211" s="1">
        <v>0.957</v>
      </c>
      <c r="D211" s="1">
        <v>0.903</v>
      </c>
      <c r="E211" s="1">
        <v>0.434</v>
      </c>
      <c r="F211" s="1">
        <v>0.34</v>
      </c>
      <c r="G211" s="1">
        <v>1.367</v>
      </c>
      <c r="H211" s="1">
        <v>2.179</v>
      </c>
      <c r="I211" s="1">
        <v>0.841</v>
      </c>
      <c r="J211" s="1">
        <v>1.441</v>
      </c>
      <c r="K211" s="1">
        <v>3.372</v>
      </c>
      <c r="L211" s="1">
        <v>5.41</v>
      </c>
      <c r="M211" s="1">
        <v>2.959</v>
      </c>
      <c r="N211" s="1">
        <v>9.226</v>
      </c>
      <c r="O211" s="1">
        <v>10.404</v>
      </c>
      <c r="P211" s="1">
        <v>7.335</v>
      </c>
      <c r="Q211" s="1">
        <v>1.083</v>
      </c>
      <c r="R211" s="1">
        <v>3.018</v>
      </c>
      <c r="S211" s="1">
        <v>2.583</v>
      </c>
      <c r="T211" s="1">
        <v>2.231</v>
      </c>
      <c r="U211" s="1">
        <v>5.533</v>
      </c>
      <c r="V211" s="1">
        <v>4.206</v>
      </c>
      <c r="W211" s="1">
        <v>2.376</v>
      </c>
      <c r="X211" s="1">
        <v>1.139</v>
      </c>
      <c r="Y211" s="1">
        <v>3.14</v>
      </c>
      <c r="Z211" s="1">
        <v>2.663</v>
      </c>
      <c r="AA211" s="1">
        <v>0.571</v>
      </c>
      <c r="AB211" s="1">
        <v>3.381</v>
      </c>
      <c r="AC211" s="1">
        <v>5.725</v>
      </c>
      <c r="AD211" s="1">
        <v>4.64</v>
      </c>
      <c r="AE211" s="1">
        <v>4.953</v>
      </c>
      <c r="AF211" s="1">
        <v>5.847</v>
      </c>
      <c r="AG211" s="1">
        <v>6.407</v>
      </c>
      <c r="AH211" s="1">
        <v>6.939</v>
      </c>
      <c r="AI211" s="1">
        <v>6.459</v>
      </c>
      <c r="AJ211" s="1">
        <v>14.27</v>
      </c>
      <c r="AK211" s="1">
        <v>89.63</v>
      </c>
      <c r="AL211" s="1">
        <v>5.373</v>
      </c>
      <c r="AM211" s="1">
        <v>17.723</v>
      </c>
      <c r="AN211" s="1">
        <v>3.996</v>
      </c>
      <c r="AO211" s="1">
        <v>45.2</v>
      </c>
      <c r="AP211" s="1">
        <v>10.1</v>
      </c>
      <c r="AQ211" s="1">
        <v>4.1</v>
      </c>
      <c r="AR211" s="1">
        <v>11.5</v>
      </c>
    </row>
    <row r="212" s="2" customFormat="1" ht="12.75">
      <c r="A212" s="4"/>
    </row>
    <row r="213" spans="1:44" s="1" customFormat="1" ht="12.75">
      <c r="A213" s="3" t="s">
        <v>130</v>
      </c>
      <c r="B213" s="1">
        <v>0.003</v>
      </c>
      <c r="C213" s="1">
        <v>0.005</v>
      </c>
      <c r="D213" s="1">
        <v>0</v>
      </c>
      <c r="E213" s="1">
        <v>0.054</v>
      </c>
      <c r="F213" s="1">
        <v>0.051</v>
      </c>
      <c r="G213" s="1">
        <v>0.39</v>
      </c>
      <c r="H213" s="1">
        <v>0.895</v>
      </c>
      <c r="I213" s="1">
        <v>0.236</v>
      </c>
      <c r="J213" s="1">
        <v>0.241</v>
      </c>
      <c r="K213" s="1">
        <v>0.112</v>
      </c>
      <c r="L213" s="1">
        <v>0.588</v>
      </c>
      <c r="M213" s="1">
        <v>0.014</v>
      </c>
      <c r="N213" s="1">
        <v>0.965</v>
      </c>
      <c r="O213" s="1">
        <v>2.081</v>
      </c>
      <c r="P213" s="1">
        <v>0.209</v>
      </c>
      <c r="Q213" s="1">
        <v>0.848</v>
      </c>
      <c r="R213" s="1">
        <v>0.934</v>
      </c>
      <c r="S213" s="1">
        <v>1.063</v>
      </c>
      <c r="T213" s="1">
        <v>9.07</v>
      </c>
      <c r="U213" s="1">
        <v>3.202</v>
      </c>
      <c r="V213" s="1">
        <v>2.842</v>
      </c>
      <c r="W213" s="1">
        <v>0.021</v>
      </c>
      <c r="X213" s="1">
        <v>0.215</v>
      </c>
      <c r="Y213" s="1">
        <v>0.028</v>
      </c>
      <c r="Z213" s="1">
        <v>0.518</v>
      </c>
      <c r="AA213" s="1">
        <v>0.26</v>
      </c>
      <c r="AB213" s="1">
        <v>0.025</v>
      </c>
      <c r="AC213" s="1">
        <v>0.85</v>
      </c>
      <c r="AD213" s="1">
        <v>1.591</v>
      </c>
      <c r="AE213" s="1">
        <v>0.362</v>
      </c>
      <c r="AF213" s="1">
        <v>0.042</v>
      </c>
      <c r="AG213" s="1">
        <v>0</v>
      </c>
      <c r="AH213" s="1">
        <v>1.74</v>
      </c>
      <c r="AI213" s="1">
        <v>1.484</v>
      </c>
      <c r="AJ213" s="1">
        <v>9.799</v>
      </c>
      <c r="AK213" s="1">
        <v>6.046</v>
      </c>
      <c r="AL213" s="1">
        <v>6.558</v>
      </c>
      <c r="AM213" s="1">
        <v>21.009</v>
      </c>
      <c r="AN213" s="1">
        <v>36.871</v>
      </c>
      <c r="AO213" s="1">
        <v>126</v>
      </c>
      <c r="AP213" s="1">
        <v>167.7</v>
      </c>
      <c r="AQ213" s="1">
        <v>42.5</v>
      </c>
      <c r="AR213" s="1">
        <v>29.5</v>
      </c>
    </row>
    <row r="214" s="2" customFormat="1" ht="12.75">
      <c r="A214" s="4"/>
    </row>
    <row r="215" spans="1:44" s="12" customFormat="1" ht="12.75">
      <c r="A215" s="9" t="s">
        <v>131</v>
      </c>
      <c r="B215" s="12">
        <v>0.005</v>
      </c>
      <c r="C215" s="12">
        <v>0.147</v>
      </c>
      <c r="D215" s="12">
        <v>0.048</v>
      </c>
      <c r="E215" s="12">
        <v>0.261</v>
      </c>
      <c r="F215" s="12">
        <v>0.186</v>
      </c>
      <c r="G215" s="12">
        <v>0.332</v>
      </c>
      <c r="H215" s="12">
        <v>0.145</v>
      </c>
      <c r="I215" s="12">
        <v>0.101</v>
      </c>
      <c r="J215" s="12">
        <v>0.137</v>
      </c>
      <c r="K215" s="12">
        <v>1.139</v>
      </c>
      <c r="L215" s="12">
        <v>1.717</v>
      </c>
      <c r="M215" s="12">
        <v>1.763</v>
      </c>
      <c r="N215" s="12">
        <v>4.557</v>
      </c>
      <c r="O215" s="12">
        <v>3.705</v>
      </c>
      <c r="P215" s="12">
        <v>16.405</v>
      </c>
      <c r="Q215" s="12">
        <v>32.37</v>
      </c>
      <c r="R215" s="12">
        <v>38.94</v>
      </c>
      <c r="S215" s="12">
        <v>50.566</v>
      </c>
      <c r="T215" s="12">
        <v>48.821</v>
      </c>
      <c r="U215" s="12">
        <v>27.582</v>
      </c>
      <c r="V215" s="12">
        <v>23.17</v>
      </c>
      <c r="W215" s="12">
        <v>1.675</v>
      </c>
      <c r="X215" s="12">
        <v>0.831</v>
      </c>
      <c r="Y215" s="12">
        <v>0.567</v>
      </c>
      <c r="Z215" s="12">
        <v>3.56</v>
      </c>
      <c r="AA215" s="12">
        <v>2.563</v>
      </c>
      <c r="AB215" s="12">
        <v>0.658</v>
      </c>
      <c r="AC215" s="12">
        <v>1.788</v>
      </c>
      <c r="AD215" s="12">
        <v>3.056</v>
      </c>
      <c r="AE215" s="12">
        <v>6.08</v>
      </c>
      <c r="AF215" s="12">
        <v>3.717</v>
      </c>
      <c r="AG215" s="12">
        <v>5.427</v>
      </c>
      <c r="AH215" s="12">
        <v>68.329</v>
      </c>
      <c r="AI215" s="12">
        <v>77.819</v>
      </c>
      <c r="AJ215" s="12">
        <v>43.918</v>
      </c>
      <c r="AK215" s="12">
        <v>72.524</v>
      </c>
      <c r="AL215" s="12">
        <v>56.598</v>
      </c>
      <c r="AM215" s="12">
        <v>56.957</v>
      </c>
      <c r="AN215" s="12">
        <v>56.042</v>
      </c>
      <c r="AO215" s="12">
        <v>69.4</v>
      </c>
      <c r="AP215" s="12">
        <v>91.2</v>
      </c>
      <c r="AQ215" s="12">
        <v>138.9</v>
      </c>
      <c r="AR215" s="12">
        <v>154.5</v>
      </c>
    </row>
    <row r="216" s="2" customFormat="1" ht="12.75">
      <c r="A216" s="4"/>
    </row>
    <row r="217" spans="1:44" s="12" customFormat="1" ht="12.75">
      <c r="A217" s="9" t="s">
        <v>132</v>
      </c>
      <c r="B217" s="12">
        <v>31.276</v>
      </c>
      <c r="C217" s="12">
        <v>48.365</v>
      </c>
      <c r="D217" s="12">
        <v>58.673</v>
      </c>
      <c r="E217" s="12">
        <v>53.274</v>
      </c>
      <c r="F217" s="12">
        <v>53.467</v>
      </c>
      <c r="G217" s="12">
        <v>66.382</v>
      </c>
      <c r="H217" s="12">
        <v>78.703</v>
      </c>
      <c r="I217" s="12">
        <v>73.677</v>
      </c>
      <c r="J217" s="12">
        <v>95.61</v>
      </c>
      <c r="K217" s="12">
        <v>108.532</v>
      </c>
      <c r="L217" s="12">
        <v>125.184</v>
      </c>
      <c r="M217" s="12">
        <v>132.317</v>
      </c>
      <c r="N217" s="12">
        <v>161.578</v>
      </c>
      <c r="O217" s="12">
        <v>215.87</v>
      </c>
      <c r="P217" s="12">
        <v>268.859</v>
      </c>
      <c r="Q217" s="12">
        <v>254.201</v>
      </c>
      <c r="R217" s="12">
        <v>260.398</v>
      </c>
      <c r="S217" s="12">
        <v>208.761</v>
      </c>
      <c r="T217" s="12">
        <v>303.196</v>
      </c>
      <c r="U217" s="12">
        <v>217.945</v>
      </c>
      <c r="V217" s="12">
        <v>571.849</v>
      </c>
      <c r="W217" s="12">
        <v>521.122</v>
      </c>
      <c r="X217" s="12">
        <v>227.641</v>
      </c>
      <c r="Y217" s="12">
        <v>183.175</v>
      </c>
      <c r="Z217" s="12">
        <v>268.665</v>
      </c>
      <c r="AA217" s="12">
        <v>213.366</v>
      </c>
      <c r="AB217" s="12">
        <v>269.175</v>
      </c>
      <c r="AC217" s="12">
        <v>673.392</v>
      </c>
      <c r="AD217" s="12">
        <v>832.628</v>
      </c>
      <c r="AE217" s="12">
        <v>640.753</v>
      </c>
      <c r="AF217" s="12">
        <v>732.633</v>
      </c>
      <c r="AG217" s="12">
        <v>1000.062</v>
      </c>
      <c r="AH217" s="12">
        <v>2065.735</v>
      </c>
      <c r="AI217" s="12">
        <v>2259.393</v>
      </c>
      <c r="AJ217" s="12">
        <v>2475.288</v>
      </c>
      <c r="AK217" s="12">
        <v>3397.522</v>
      </c>
      <c r="AL217" s="12">
        <v>2120.179</v>
      </c>
      <c r="AM217" s="12">
        <v>1935.945</v>
      </c>
      <c r="AN217" s="12">
        <v>1625.413</v>
      </c>
      <c r="AO217" s="12">
        <v>1732.5</v>
      </c>
      <c r="AP217" s="12">
        <v>1874.5</v>
      </c>
      <c r="AQ217" s="12">
        <v>2000.5</v>
      </c>
      <c r="AR217" s="12">
        <v>2275.3</v>
      </c>
    </row>
    <row r="218" s="12" customFormat="1" ht="12.75">
      <c r="A218" s="9"/>
    </row>
    <row r="219" spans="1:44" s="12" customFormat="1" ht="12.75">
      <c r="A219" s="16" t="s">
        <v>133</v>
      </c>
      <c r="B219" s="12">
        <v>0</v>
      </c>
      <c r="C219" s="12">
        <v>0</v>
      </c>
      <c r="D219" s="12">
        <v>0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2">
        <v>0</v>
      </c>
      <c r="AG219" s="12">
        <v>0</v>
      </c>
      <c r="AH219" s="12">
        <v>0</v>
      </c>
      <c r="AI219" s="12">
        <v>0</v>
      </c>
      <c r="AJ219" s="12">
        <v>138.294</v>
      </c>
      <c r="AK219" s="12">
        <v>12.987</v>
      </c>
      <c r="AL219" s="12">
        <v>40.585</v>
      </c>
      <c r="AM219" s="12">
        <v>0.024</v>
      </c>
      <c r="AN219" s="12">
        <v>0.135</v>
      </c>
      <c r="AO219" s="12">
        <v>0</v>
      </c>
      <c r="AP219" s="12">
        <v>0</v>
      </c>
      <c r="AQ219" s="12">
        <v>0</v>
      </c>
      <c r="AR219" s="12">
        <v>0</v>
      </c>
    </row>
    <row r="220" s="2" customFormat="1" ht="12.75">
      <c r="A220" s="4"/>
    </row>
    <row r="221" spans="1:47" s="12" customFormat="1" ht="15">
      <c r="A221" s="54" t="s">
        <v>134</v>
      </c>
      <c r="B221" s="12">
        <f aca="true" t="shared" si="181" ref="B221:Q221">B199+B215+B217+B219</f>
        <v>102.67999999999999</v>
      </c>
      <c r="C221" s="12">
        <f t="shared" si="181"/>
        <v>111.465</v>
      </c>
      <c r="D221" s="12">
        <f t="shared" si="181"/>
        <v>127.91300000000001</v>
      </c>
      <c r="E221" s="12">
        <f t="shared" si="181"/>
        <v>114.705</v>
      </c>
      <c r="F221" s="12">
        <f t="shared" si="181"/>
        <v>128.221</v>
      </c>
      <c r="G221" s="12">
        <f t="shared" si="181"/>
        <v>153.13400000000001</v>
      </c>
      <c r="H221" s="12">
        <f t="shared" si="181"/>
        <v>180.781</v>
      </c>
      <c r="I221" s="12">
        <f t="shared" si="181"/>
        <v>157.53300000000002</v>
      </c>
      <c r="J221" s="12">
        <f t="shared" si="181"/>
        <v>181.76799999999997</v>
      </c>
      <c r="K221" s="12">
        <f t="shared" si="181"/>
        <v>216.90699999999998</v>
      </c>
      <c r="L221" s="12">
        <f t="shared" si="181"/>
        <v>244.70099999999996</v>
      </c>
      <c r="M221" s="12">
        <f t="shared" si="181"/>
        <v>272.629</v>
      </c>
      <c r="N221" s="12">
        <f t="shared" si="181"/>
        <v>334.653</v>
      </c>
      <c r="O221" s="12">
        <f t="shared" si="181"/>
        <v>439.767</v>
      </c>
      <c r="P221" s="12">
        <f t="shared" si="181"/>
        <v>634.6790000000001</v>
      </c>
      <c r="Q221" s="12">
        <f t="shared" si="181"/>
        <v>581.45</v>
      </c>
      <c r="R221" s="12">
        <f aca="true" t="shared" si="182" ref="R221:AG221">R199+R215+R217+R219</f>
        <v>592.2470000000001</v>
      </c>
      <c r="S221" s="12">
        <f t="shared" si="182"/>
        <v>539.857</v>
      </c>
      <c r="T221" s="12">
        <f t="shared" si="182"/>
        <v>625.22</v>
      </c>
      <c r="U221" s="12">
        <f t="shared" si="182"/>
        <v>542.804</v>
      </c>
      <c r="V221" s="12">
        <f t="shared" si="182"/>
        <v>811.783</v>
      </c>
      <c r="W221" s="12">
        <f t="shared" si="182"/>
        <v>645.1569999999999</v>
      </c>
      <c r="X221" s="12">
        <f t="shared" si="182"/>
        <v>339.526</v>
      </c>
      <c r="Y221" s="12">
        <f t="shared" si="182"/>
        <v>283.738</v>
      </c>
      <c r="Z221" s="12">
        <f t="shared" si="182"/>
        <v>356.591</v>
      </c>
      <c r="AA221" s="12">
        <f t="shared" si="182"/>
        <v>361.128</v>
      </c>
      <c r="AB221" s="12">
        <f t="shared" si="182"/>
        <v>464.952</v>
      </c>
      <c r="AC221" s="12">
        <f t="shared" si="182"/>
        <v>915.502</v>
      </c>
      <c r="AD221" s="12">
        <f t="shared" si="182"/>
        <v>1160.788</v>
      </c>
      <c r="AE221" s="12">
        <f t="shared" si="182"/>
        <v>1035.814</v>
      </c>
      <c r="AF221" s="12">
        <f t="shared" si="182"/>
        <v>1043.891</v>
      </c>
      <c r="AG221" s="12">
        <f t="shared" si="182"/>
        <v>1312.173</v>
      </c>
      <c r="AH221" s="12">
        <f aca="true" t="shared" si="183" ref="AH221:AS221">AH199+AH215+AH217+AH219</f>
        <v>2648.701</v>
      </c>
      <c r="AI221" s="12">
        <f t="shared" si="183"/>
        <v>2987.682</v>
      </c>
      <c r="AJ221" s="12">
        <f t="shared" si="183"/>
        <v>3746.8009999999995</v>
      </c>
      <c r="AK221" s="12">
        <f t="shared" si="183"/>
        <v>4824.549</v>
      </c>
      <c r="AL221" s="12">
        <f t="shared" si="183"/>
        <v>3250.672</v>
      </c>
      <c r="AM221" s="12">
        <f t="shared" si="183"/>
        <v>3105.708</v>
      </c>
      <c r="AN221" s="12">
        <f t="shared" si="183"/>
        <v>2875.592</v>
      </c>
      <c r="AO221" s="12">
        <f t="shared" si="183"/>
        <v>3013.4</v>
      </c>
      <c r="AP221" s="12">
        <f t="shared" si="183"/>
        <v>3362</v>
      </c>
      <c r="AQ221" s="12">
        <f t="shared" si="183"/>
        <v>3762.7</v>
      </c>
      <c r="AR221" s="12">
        <f t="shared" si="183"/>
        <v>4223.9</v>
      </c>
      <c r="AS221" s="12">
        <f t="shared" si="183"/>
        <v>0</v>
      </c>
      <c r="AT221" s="12">
        <f>AT199+AT215+AT217+AT219</f>
        <v>0</v>
      </c>
      <c r="AU221" s="12">
        <f>AU199+AU215+AU217+AU219</f>
        <v>0</v>
      </c>
    </row>
    <row r="222" spans="1:39" s="2" customFormat="1" ht="12.75">
      <c r="A222" s="4"/>
      <c r="AM222" s="2" t="s">
        <v>4</v>
      </c>
    </row>
    <row r="223" s="91" customFormat="1" ht="10.5" customHeight="1">
      <c r="A223" s="90"/>
    </row>
    <row r="224" s="2" customFormat="1" ht="12.75">
      <c r="A224" s="26" t="s">
        <v>135</v>
      </c>
    </row>
    <row r="225" s="2" customFormat="1" ht="12.75">
      <c r="A225" s="4"/>
    </row>
    <row r="226" spans="1:47" s="12" customFormat="1" ht="12.75">
      <c r="A226" s="9" t="s">
        <v>136</v>
      </c>
      <c r="B226" s="12">
        <f>SUM(B227:B232)</f>
        <v>50.2</v>
      </c>
      <c r="C226" s="12">
        <f aca="true" t="shared" si="184" ref="C226:R226">SUM(C227:C232)</f>
        <v>85.4</v>
      </c>
      <c r="D226" s="12">
        <f t="shared" si="184"/>
        <v>70</v>
      </c>
      <c r="E226" s="12">
        <f t="shared" si="184"/>
        <v>44.8</v>
      </c>
      <c r="F226" s="12">
        <f t="shared" si="184"/>
        <v>43.7</v>
      </c>
      <c r="G226" s="12">
        <f t="shared" si="184"/>
        <v>118.20000000000002</v>
      </c>
      <c r="H226" s="12">
        <f t="shared" si="184"/>
        <v>95.5</v>
      </c>
      <c r="I226" s="12">
        <f t="shared" si="184"/>
        <v>56.1</v>
      </c>
      <c r="J226" s="12">
        <f t="shared" si="184"/>
        <v>35.3</v>
      </c>
      <c r="K226" s="12">
        <f t="shared" si="184"/>
        <v>37.4</v>
      </c>
      <c r="L226" s="12">
        <f t="shared" si="184"/>
        <v>34.9</v>
      </c>
      <c r="M226" s="12">
        <f t="shared" si="184"/>
        <v>68</v>
      </c>
      <c r="N226" s="12">
        <f t="shared" si="184"/>
        <v>171</v>
      </c>
      <c r="O226" s="12">
        <f t="shared" si="184"/>
        <v>206</v>
      </c>
      <c r="P226" s="12">
        <f t="shared" si="184"/>
        <v>327</v>
      </c>
      <c r="Q226" s="12">
        <f t="shared" si="184"/>
        <v>852</v>
      </c>
      <c r="R226" s="12">
        <f t="shared" si="184"/>
        <v>1555</v>
      </c>
      <c r="S226" s="12">
        <f aca="true" t="shared" si="185" ref="S226:AH226">SUM(S227:S232)</f>
        <v>1232</v>
      </c>
      <c r="T226" s="12">
        <f t="shared" si="185"/>
        <v>1534</v>
      </c>
      <c r="U226" s="12">
        <f t="shared" si="185"/>
        <v>1031</v>
      </c>
      <c r="V226" s="12">
        <f t="shared" si="185"/>
        <v>1518</v>
      </c>
      <c r="W226" s="12">
        <f t="shared" si="185"/>
        <v>1541</v>
      </c>
      <c r="X226" s="12">
        <f t="shared" si="185"/>
        <v>2161</v>
      </c>
      <c r="Y226" s="12">
        <f t="shared" si="185"/>
        <v>2164</v>
      </c>
      <c r="Z226" s="12">
        <f t="shared" si="185"/>
        <v>2368</v>
      </c>
      <c r="AA226" s="12">
        <f t="shared" si="185"/>
        <v>2070</v>
      </c>
      <c r="AB226" s="12">
        <f t="shared" si="185"/>
        <v>1538</v>
      </c>
      <c r="AC226" s="12">
        <f t="shared" si="185"/>
        <v>1039</v>
      </c>
      <c r="AD226" s="12">
        <f t="shared" si="185"/>
        <v>1466</v>
      </c>
      <c r="AE226" s="12">
        <f t="shared" si="185"/>
        <v>1374</v>
      </c>
      <c r="AF226" s="12">
        <f t="shared" si="185"/>
        <v>2779</v>
      </c>
      <c r="AG226" s="12">
        <f t="shared" si="185"/>
        <v>2138</v>
      </c>
      <c r="AH226" s="12">
        <f t="shared" si="185"/>
        <v>2124</v>
      </c>
      <c r="AI226" s="12">
        <f aca="true" t="shared" si="186" ref="AI226:AQ226">SUM(AI227:AI232)</f>
        <v>2276</v>
      </c>
      <c r="AJ226" s="12">
        <f t="shared" si="186"/>
        <v>2446</v>
      </c>
      <c r="AK226" s="12">
        <f t="shared" si="186"/>
        <v>1369</v>
      </c>
      <c r="AL226" s="12">
        <f t="shared" si="186"/>
        <v>2404</v>
      </c>
      <c r="AM226" s="12">
        <f t="shared" si="186"/>
        <v>2581</v>
      </c>
      <c r="AN226" s="12">
        <f t="shared" si="186"/>
        <v>2508</v>
      </c>
      <c r="AO226" s="12">
        <f t="shared" si="186"/>
        <v>1583</v>
      </c>
      <c r="AP226" s="12">
        <f t="shared" si="186"/>
        <v>1953</v>
      </c>
      <c r="AQ226" s="12">
        <f t="shared" si="186"/>
        <v>0</v>
      </c>
      <c r="AR226" s="12">
        <f>SUM(AR227:AR232)</f>
        <v>0</v>
      </c>
      <c r="AS226" s="12">
        <f>SUM(AS227:AS232)</f>
        <v>0</v>
      </c>
      <c r="AT226" s="12">
        <f>SUM(AT227:AT232)</f>
        <v>0</v>
      </c>
      <c r="AU226" s="12">
        <f>SUM(AU227:AU232)</f>
        <v>0</v>
      </c>
    </row>
    <row r="227" spans="1:42" s="2" customFormat="1" ht="12.75">
      <c r="A227" s="25" t="s">
        <v>137</v>
      </c>
      <c r="B227" s="11">
        <v>2.1</v>
      </c>
      <c r="C227" s="2">
        <v>3.8</v>
      </c>
      <c r="D227" s="2">
        <v>5.4</v>
      </c>
      <c r="E227" s="2">
        <v>4.4</v>
      </c>
      <c r="F227" s="2">
        <v>5.3</v>
      </c>
      <c r="G227" s="2">
        <v>8.3</v>
      </c>
      <c r="H227" s="2">
        <v>9.3</v>
      </c>
      <c r="I227" s="2">
        <v>10.7</v>
      </c>
      <c r="J227" s="2">
        <v>9.4</v>
      </c>
      <c r="K227" s="2">
        <v>11.7</v>
      </c>
      <c r="L227" s="2">
        <v>18.8</v>
      </c>
      <c r="M227" s="2">
        <v>10</v>
      </c>
      <c r="N227" s="2">
        <v>15</v>
      </c>
      <c r="O227" s="2">
        <v>21</v>
      </c>
      <c r="P227" s="2">
        <v>32</v>
      </c>
      <c r="Q227" s="2">
        <v>65</v>
      </c>
      <c r="R227" s="2">
        <v>88</v>
      </c>
      <c r="S227" s="2">
        <v>118</v>
      </c>
      <c r="T227" s="2">
        <v>179</v>
      </c>
      <c r="U227" s="2">
        <v>113</v>
      </c>
      <c r="V227" s="2">
        <v>259</v>
      </c>
      <c r="W227" s="2">
        <v>357</v>
      </c>
      <c r="X227" s="2">
        <v>482</v>
      </c>
      <c r="Y227" s="2">
        <v>351</v>
      </c>
      <c r="Z227" s="2">
        <v>530</v>
      </c>
      <c r="AA227" s="2">
        <v>364</v>
      </c>
      <c r="AB227" s="2">
        <v>255</v>
      </c>
      <c r="AC227" s="2">
        <v>151</v>
      </c>
      <c r="AD227" s="2">
        <v>206</v>
      </c>
      <c r="AE227" s="2">
        <v>190</v>
      </c>
      <c r="AF227" s="2">
        <v>265</v>
      </c>
      <c r="AG227" s="2">
        <v>150</v>
      </c>
      <c r="AH227" s="2">
        <v>230</v>
      </c>
      <c r="AI227" s="2">
        <v>166</v>
      </c>
      <c r="AJ227" s="2">
        <v>178</v>
      </c>
      <c r="AK227" s="2">
        <v>60</v>
      </c>
      <c r="AL227" s="2">
        <v>96</v>
      </c>
      <c r="AM227" s="2">
        <v>60</v>
      </c>
      <c r="AN227" s="2">
        <v>35</v>
      </c>
      <c r="AO227" s="2">
        <v>77</v>
      </c>
      <c r="AP227" s="2">
        <v>37</v>
      </c>
    </row>
    <row r="228" spans="1:42" s="2" customFormat="1" ht="12.75">
      <c r="A228" s="4" t="s">
        <v>138</v>
      </c>
      <c r="B228" s="15">
        <v>1</v>
      </c>
      <c r="C228" s="2">
        <v>22.8</v>
      </c>
      <c r="D228" s="2">
        <v>12.6</v>
      </c>
      <c r="E228" s="2">
        <v>15.7</v>
      </c>
      <c r="F228" s="2">
        <v>11.6</v>
      </c>
      <c r="G228" s="2">
        <v>40.9</v>
      </c>
      <c r="H228" s="2">
        <v>43</v>
      </c>
      <c r="I228" s="2">
        <v>17</v>
      </c>
      <c r="J228" s="2">
        <v>4.4</v>
      </c>
      <c r="K228" s="2">
        <v>7</v>
      </c>
      <c r="L228" s="2">
        <v>0.2</v>
      </c>
      <c r="M228" s="2">
        <v>6</v>
      </c>
      <c r="N228" s="2">
        <v>104</v>
      </c>
      <c r="O228" s="2">
        <v>94</v>
      </c>
      <c r="P228" s="2">
        <v>113</v>
      </c>
      <c r="Q228" s="2">
        <v>461</v>
      </c>
      <c r="R228" s="2">
        <v>560</v>
      </c>
      <c r="S228" s="2">
        <v>327</v>
      </c>
      <c r="T228" s="2">
        <v>565</v>
      </c>
      <c r="U228" s="2">
        <v>391</v>
      </c>
      <c r="V228" s="2">
        <v>450</v>
      </c>
      <c r="W228" s="2">
        <v>562</v>
      </c>
      <c r="X228" s="2">
        <v>943</v>
      </c>
      <c r="Y228" s="2">
        <v>673</v>
      </c>
      <c r="Z228" s="2">
        <v>1018</v>
      </c>
      <c r="AA228" s="2">
        <v>956</v>
      </c>
      <c r="AB228" s="2">
        <v>723</v>
      </c>
      <c r="AC228" s="2">
        <v>455</v>
      </c>
      <c r="AD228" s="2">
        <v>611</v>
      </c>
      <c r="AE228" s="2">
        <v>568</v>
      </c>
      <c r="AF228" s="2">
        <v>1856</v>
      </c>
      <c r="AG228" s="2">
        <v>1240</v>
      </c>
      <c r="AH228" s="2">
        <v>965</v>
      </c>
      <c r="AI228" s="2">
        <v>1047</v>
      </c>
      <c r="AJ228" s="2">
        <v>1376</v>
      </c>
      <c r="AK228" s="2">
        <v>693</v>
      </c>
      <c r="AL228" s="2">
        <v>1444</v>
      </c>
      <c r="AM228" s="2">
        <v>1881</v>
      </c>
      <c r="AN228" s="2">
        <v>1705</v>
      </c>
      <c r="AO228" s="2">
        <v>878</v>
      </c>
      <c r="AP228" s="2">
        <v>1319</v>
      </c>
    </row>
    <row r="229" spans="1:42" s="2" customFormat="1" ht="12.75">
      <c r="A229" s="4" t="s">
        <v>139</v>
      </c>
      <c r="B229" s="15">
        <v>30.6</v>
      </c>
      <c r="C229" s="2">
        <v>32.7</v>
      </c>
      <c r="D229" s="2">
        <v>42.1</v>
      </c>
      <c r="E229" s="2">
        <v>14.9</v>
      </c>
      <c r="F229" s="2">
        <v>16.8</v>
      </c>
      <c r="G229" s="2">
        <v>59.1</v>
      </c>
      <c r="H229" s="2">
        <v>26.3</v>
      </c>
      <c r="I229" s="2">
        <v>17.3</v>
      </c>
      <c r="J229" s="2">
        <v>12.6</v>
      </c>
      <c r="K229" s="2">
        <v>8</v>
      </c>
      <c r="L229" s="2">
        <v>5.5</v>
      </c>
      <c r="M229" s="2">
        <v>7</v>
      </c>
      <c r="N229" s="2">
        <v>11</v>
      </c>
      <c r="O229" s="2">
        <v>26</v>
      </c>
      <c r="P229" s="2">
        <v>76</v>
      </c>
      <c r="Q229" s="2">
        <v>157</v>
      </c>
      <c r="R229" s="2">
        <v>537</v>
      </c>
      <c r="S229" s="2">
        <v>243</v>
      </c>
      <c r="T229" s="2">
        <v>168</v>
      </c>
      <c r="U229" s="2">
        <v>61</v>
      </c>
      <c r="V229" s="2">
        <v>293</v>
      </c>
      <c r="W229" s="2">
        <v>157</v>
      </c>
      <c r="X229" s="2">
        <v>32</v>
      </c>
      <c r="Y229" s="2">
        <v>395</v>
      </c>
      <c r="Z229" s="2">
        <v>86</v>
      </c>
      <c r="AA229" s="2">
        <v>70</v>
      </c>
      <c r="AB229" s="2">
        <v>112</v>
      </c>
      <c r="AC229" s="2">
        <v>99</v>
      </c>
      <c r="AD229" s="2">
        <v>101</v>
      </c>
      <c r="AE229" s="2">
        <v>75</v>
      </c>
      <c r="AF229" s="2">
        <v>221</v>
      </c>
      <c r="AG229" s="2">
        <v>351</v>
      </c>
      <c r="AH229" s="2">
        <v>373</v>
      </c>
      <c r="AI229" s="2">
        <v>308</v>
      </c>
      <c r="AJ229" s="2">
        <v>167</v>
      </c>
      <c r="AK229" s="2">
        <v>251</v>
      </c>
      <c r="AL229" s="2">
        <v>375</v>
      </c>
      <c r="AM229" s="2">
        <v>335</v>
      </c>
      <c r="AN229" s="2">
        <v>405</v>
      </c>
      <c r="AO229" s="2">
        <v>230</v>
      </c>
      <c r="AP229" s="2">
        <v>281</v>
      </c>
    </row>
    <row r="230" spans="1:42" s="2" customFormat="1" ht="12.75">
      <c r="A230" s="4" t="s">
        <v>140</v>
      </c>
      <c r="B230" s="15">
        <v>16.5</v>
      </c>
      <c r="C230" s="2">
        <v>26.1</v>
      </c>
      <c r="D230" s="2">
        <v>9.9</v>
      </c>
      <c r="E230" s="2">
        <v>9.8</v>
      </c>
      <c r="F230" s="2">
        <v>10</v>
      </c>
      <c r="G230" s="2">
        <v>9.9</v>
      </c>
      <c r="H230" s="2">
        <v>16.9</v>
      </c>
      <c r="I230" s="2">
        <v>11.1</v>
      </c>
      <c r="J230" s="2">
        <v>8.9</v>
      </c>
      <c r="K230" s="2">
        <v>10.7</v>
      </c>
      <c r="L230" s="2">
        <v>10.4</v>
      </c>
      <c r="M230" s="2">
        <v>13</v>
      </c>
      <c r="N230" s="2">
        <v>15</v>
      </c>
      <c r="O230" s="2">
        <v>18</v>
      </c>
      <c r="P230" s="2">
        <v>19</v>
      </c>
      <c r="Q230" s="2">
        <v>33</v>
      </c>
      <c r="R230" s="2">
        <v>36</v>
      </c>
      <c r="S230" s="2">
        <v>43</v>
      </c>
      <c r="T230" s="2">
        <v>65</v>
      </c>
      <c r="U230" s="2">
        <v>60</v>
      </c>
      <c r="V230" s="2">
        <v>95</v>
      </c>
      <c r="W230" s="2">
        <v>39</v>
      </c>
      <c r="X230" s="2">
        <v>61</v>
      </c>
      <c r="Y230" s="2">
        <v>37</v>
      </c>
      <c r="Z230" s="2">
        <v>54</v>
      </c>
      <c r="AA230" s="2">
        <v>147</v>
      </c>
      <c r="AB230" s="2">
        <v>84</v>
      </c>
      <c r="AC230" s="2">
        <v>84</v>
      </c>
      <c r="AD230" s="2">
        <v>50</v>
      </c>
      <c r="AE230" s="2">
        <v>175</v>
      </c>
      <c r="AF230" s="2">
        <v>43</v>
      </c>
      <c r="AG230" s="2">
        <v>133</v>
      </c>
      <c r="AH230" s="2">
        <v>126</v>
      </c>
      <c r="AI230" s="2">
        <v>248</v>
      </c>
      <c r="AJ230" s="2">
        <v>147</v>
      </c>
      <c r="AK230" s="2">
        <v>52</v>
      </c>
      <c r="AL230" s="2">
        <v>40</v>
      </c>
      <c r="AM230" s="2">
        <v>28</v>
      </c>
      <c r="AN230" s="2">
        <v>38</v>
      </c>
      <c r="AO230" s="2">
        <v>37</v>
      </c>
      <c r="AP230" s="2">
        <v>62</v>
      </c>
    </row>
    <row r="231" spans="1:42" s="2" customFormat="1" ht="12.75">
      <c r="A231" s="4" t="s">
        <v>141</v>
      </c>
      <c r="B231" s="11"/>
      <c r="M231" s="2">
        <v>3</v>
      </c>
      <c r="N231" s="2">
        <v>3</v>
      </c>
      <c r="O231" s="2">
        <v>12</v>
      </c>
      <c r="P231" s="2">
        <v>21</v>
      </c>
      <c r="Q231" s="2">
        <v>32</v>
      </c>
      <c r="R231" s="2">
        <v>131</v>
      </c>
      <c r="S231" s="2">
        <v>152</v>
      </c>
      <c r="T231" s="2">
        <v>99</v>
      </c>
      <c r="U231" s="2">
        <v>37</v>
      </c>
      <c r="V231" s="2">
        <v>24</v>
      </c>
      <c r="W231" s="2">
        <v>7</v>
      </c>
      <c r="X231" s="2">
        <v>12</v>
      </c>
      <c r="Y231" s="2">
        <v>8</v>
      </c>
      <c r="Z231" s="2">
        <v>17</v>
      </c>
      <c r="AA231" s="2">
        <v>15</v>
      </c>
      <c r="AB231" s="2">
        <v>3</v>
      </c>
      <c r="AC231" s="2">
        <v>5</v>
      </c>
      <c r="AD231" s="2">
        <v>2</v>
      </c>
      <c r="AE231" s="2">
        <v>4</v>
      </c>
      <c r="AF231" s="2">
        <v>8</v>
      </c>
      <c r="AG231" s="2">
        <v>27</v>
      </c>
      <c r="AH231" s="2">
        <v>87</v>
      </c>
      <c r="AI231" s="2">
        <v>92</v>
      </c>
      <c r="AJ231" s="2">
        <v>119</v>
      </c>
      <c r="AK231" s="2">
        <v>34</v>
      </c>
      <c r="AL231" s="2">
        <v>7</v>
      </c>
      <c r="AM231" s="2">
        <v>4</v>
      </c>
      <c r="AN231" s="2">
        <v>4</v>
      </c>
      <c r="AO231" s="2">
        <v>3</v>
      </c>
      <c r="AP231" s="2">
        <v>6</v>
      </c>
    </row>
    <row r="232" spans="1:42" s="2" customFormat="1" ht="12.75">
      <c r="A232" s="4" t="s">
        <v>29</v>
      </c>
      <c r="M232" s="2">
        <v>29</v>
      </c>
      <c r="N232" s="2">
        <v>23</v>
      </c>
      <c r="O232" s="2">
        <v>35</v>
      </c>
      <c r="P232" s="2">
        <v>66</v>
      </c>
      <c r="Q232" s="2">
        <v>104</v>
      </c>
      <c r="R232" s="2">
        <v>203</v>
      </c>
      <c r="S232" s="2">
        <v>349</v>
      </c>
      <c r="T232" s="2">
        <v>458</v>
      </c>
      <c r="U232" s="2">
        <v>369</v>
      </c>
      <c r="V232" s="2">
        <v>397</v>
      </c>
      <c r="W232" s="2">
        <v>419</v>
      </c>
      <c r="X232" s="2">
        <v>631</v>
      </c>
      <c r="Y232" s="2">
        <v>700</v>
      </c>
      <c r="Z232" s="2">
        <v>663</v>
      </c>
      <c r="AA232" s="2">
        <v>518</v>
      </c>
      <c r="AB232" s="2">
        <v>361</v>
      </c>
      <c r="AC232" s="2">
        <v>245</v>
      </c>
      <c r="AD232" s="2">
        <v>496</v>
      </c>
      <c r="AE232" s="2">
        <v>362</v>
      </c>
      <c r="AF232" s="2">
        <v>386</v>
      </c>
      <c r="AG232" s="2">
        <v>237</v>
      </c>
      <c r="AH232" s="2">
        <v>343</v>
      </c>
      <c r="AI232" s="2">
        <v>415</v>
      </c>
      <c r="AJ232" s="2">
        <v>459</v>
      </c>
      <c r="AK232" s="2">
        <v>279</v>
      </c>
      <c r="AL232" s="2">
        <v>442</v>
      </c>
      <c r="AM232" s="2">
        <v>273</v>
      </c>
      <c r="AN232" s="2">
        <v>321</v>
      </c>
      <c r="AO232" s="2">
        <v>358</v>
      </c>
      <c r="AP232" s="2">
        <v>248</v>
      </c>
    </row>
    <row r="233" s="2" customFormat="1" ht="12.75">
      <c r="A233" s="4"/>
    </row>
    <row r="234" spans="1:42" s="12" customFormat="1" ht="12.75">
      <c r="A234" s="9" t="s">
        <v>142</v>
      </c>
      <c r="M234" s="12">
        <v>1</v>
      </c>
      <c r="N234" s="12">
        <v>3</v>
      </c>
      <c r="O234" s="12">
        <v>4</v>
      </c>
      <c r="P234" s="12">
        <v>5</v>
      </c>
      <c r="Q234" s="12">
        <v>13</v>
      </c>
      <c r="R234" s="12">
        <v>26</v>
      </c>
      <c r="S234" s="12">
        <v>77</v>
      </c>
      <c r="T234" s="12">
        <v>131</v>
      </c>
      <c r="U234" s="12">
        <v>117</v>
      </c>
      <c r="V234" s="12">
        <v>52</v>
      </c>
      <c r="W234" s="12">
        <v>46</v>
      </c>
      <c r="X234" s="12">
        <v>88</v>
      </c>
      <c r="Y234" s="12">
        <v>7</v>
      </c>
      <c r="Z234" s="12">
        <v>90</v>
      </c>
      <c r="AA234" s="12">
        <v>82</v>
      </c>
      <c r="AB234" s="12">
        <v>99</v>
      </c>
      <c r="AC234" s="12">
        <v>109</v>
      </c>
      <c r="AD234" s="12">
        <v>107</v>
      </c>
      <c r="AE234" s="12">
        <v>47</v>
      </c>
      <c r="AF234" s="12">
        <v>77</v>
      </c>
      <c r="AG234" s="12">
        <v>47</v>
      </c>
      <c r="AH234" s="12">
        <v>109</v>
      </c>
      <c r="AI234" s="12">
        <v>95</v>
      </c>
      <c r="AJ234" s="12">
        <v>80</v>
      </c>
      <c r="AK234" s="12">
        <v>36</v>
      </c>
      <c r="AL234" s="12">
        <v>2</v>
      </c>
      <c r="AM234" s="12">
        <v>11</v>
      </c>
      <c r="AN234" s="12">
        <v>8</v>
      </c>
      <c r="AO234" s="12">
        <v>9</v>
      </c>
      <c r="AP234" s="12">
        <v>6</v>
      </c>
    </row>
    <row r="235" s="2" customFormat="1" ht="12.75">
      <c r="A235" s="4"/>
    </row>
    <row r="236" spans="1:47" s="12" customFormat="1" ht="12.75">
      <c r="A236" s="16" t="s">
        <v>143</v>
      </c>
      <c r="B236" s="12">
        <f aca="true" t="shared" si="187" ref="B236:Q236">SUM(B237:B240)</f>
        <v>41.800000000000004</v>
      </c>
      <c r="C236" s="12">
        <f t="shared" si="187"/>
        <v>42.5</v>
      </c>
      <c r="D236" s="12">
        <f t="shared" si="187"/>
        <v>51.300000000000004</v>
      </c>
      <c r="E236" s="12">
        <f t="shared" si="187"/>
        <v>48.50000000000001</v>
      </c>
      <c r="F236" s="12">
        <f t="shared" si="187"/>
        <v>48.5</v>
      </c>
      <c r="G236" s="12">
        <f t="shared" si="187"/>
        <v>52</v>
      </c>
      <c r="H236" s="12">
        <f t="shared" si="187"/>
        <v>64.60000000000001</v>
      </c>
      <c r="I236" s="12">
        <f t="shared" si="187"/>
        <v>68.1</v>
      </c>
      <c r="J236" s="12">
        <f t="shared" si="187"/>
        <v>70.60000000000001</v>
      </c>
      <c r="K236" s="12">
        <f t="shared" si="187"/>
        <v>73.69999999999999</v>
      </c>
      <c r="L236" s="12">
        <f t="shared" si="187"/>
        <v>80.1</v>
      </c>
      <c r="M236" s="12">
        <f t="shared" si="187"/>
        <v>75</v>
      </c>
      <c r="N236" s="12">
        <f t="shared" si="187"/>
        <v>85</v>
      </c>
      <c r="O236" s="12">
        <f t="shared" si="187"/>
        <v>120</v>
      </c>
      <c r="P236" s="12">
        <f t="shared" si="187"/>
        <v>189</v>
      </c>
      <c r="Q236" s="12">
        <f t="shared" si="187"/>
        <v>344</v>
      </c>
      <c r="R236" s="12">
        <f aca="true" t="shared" si="188" ref="R236:AG236">SUM(R237:R240)</f>
        <v>369</v>
      </c>
      <c r="S236" s="12">
        <f t="shared" si="188"/>
        <v>365</v>
      </c>
      <c r="T236" s="12">
        <f t="shared" si="188"/>
        <v>453</v>
      </c>
      <c r="U236" s="12">
        <f t="shared" si="188"/>
        <v>318</v>
      </c>
      <c r="V236" s="12">
        <f t="shared" si="188"/>
        <v>312</v>
      </c>
      <c r="W236" s="12">
        <f t="shared" si="188"/>
        <v>661</v>
      </c>
      <c r="X236" s="12">
        <f t="shared" si="188"/>
        <v>667</v>
      </c>
      <c r="Y236" s="12">
        <f t="shared" si="188"/>
        <v>461</v>
      </c>
      <c r="Z236" s="12">
        <f t="shared" si="188"/>
        <v>802</v>
      </c>
      <c r="AA236" s="12">
        <f t="shared" si="188"/>
        <v>522</v>
      </c>
      <c r="AB236" s="12">
        <f t="shared" si="188"/>
        <v>314</v>
      </c>
      <c r="AC236" s="12">
        <f t="shared" si="188"/>
        <v>282</v>
      </c>
      <c r="AD236" s="12">
        <f t="shared" si="188"/>
        <v>257</v>
      </c>
      <c r="AE236" s="12">
        <f t="shared" si="188"/>
        <v>243</v>
      </c>
      <c r="AF236" s="12">
        <f t="shared" si="188"/>
        <v>392</v>
      </c>
      <c r="AG236" s="12">
        <f t="shared" si="188"/>
        <v>753</v>
      </c>
      <c r="AH236" s="12">
        <f aca="true" t="shared" si="189" ref="AH236:AS236">SUM(AH237:AH240)</f>
        <v>860</v>
      </c>
      <c r="AI236" s="12">
        <f t="shared" si="189"/>
        <v>758</v>
      </c>
      <c r="AJ236" s="12">
        <f t="shared" si="189"/>
        <v>551</v>
      </c>
      <c r="AK236" s="12">
        <f t="shared" si="189"/>
        <v>649</v>
      </c>
      <c r="AL236" s="12">
        <f t="shared" si="189"/>
        <v>660</v>
      </c>
      <c r="AM236" s="12">
        <f t="shared" si="189"/>
        <v>770</v>
      </c>
      <c r="AN236" s="12">
        <f t="shared" si="189"/>
        <v>647</v>
      </c>
      <c r="AO236" s="12">
        <f t="shared" si="189"/>
        <v>596</v>
      </c>
      <c r="AP236" s="12">
        <f t="shared" si="189"/>
        <v>648</v>
      </c>
      <c r="AQ236" s="12">
        <f t="shared" si="189"/>
        <v>0</v>
      </c>
      <c r="AR236" s="12">
        <f t="shared" si="189"/>
        <v>0</v>
      </c>
      <c r="AS236" s="12">
        <f t="shared" si="189"/>
        <v>0</v>
      </c>
      <c r="AT236" s="12">
        <f>SUM(AT237:AT240)</f>
        <v>0</v>
      </c>
      <c r="AU236" s="12">
        <f>SUM(AU237:AU240)</f>
        <v>0</v>
      </c>
    </row>
    <row r="237" spans="1:42" s="2" customFormat="1" ht="12.75">
      <c r="A237" s="4" t="s">
        <v>144</v>
      </c>
      <c r="B237" s="2">
        <v>20.6</v>
      </c>
      <c r="C237" s="2">
        <v>20.3</v>
      </c>
      <c r="D237" s="2">
        <v>23</v>
      </c>
      <c r="E237" s="2">
        <v>21.3</v>
      </c>
      <c r="F237" s="2">
        <v>21</v>
      </c>
      <c r="G237" s="2">
        <v>20.2</v>
      </c>
      <c r="H237" s="2">
        <v>24.3</v>
      </c>
      <c r="I237" s="2">
        <v>27.7</v>
      </c>
      <c r="J237" s="2">
        <v>21.7</v>
      </c>
      <c r="K237" s="2">
        <v>27.8</v>
      </c>
      <c r="L237" s="2">
        <v>36.8</v>
      </c>
      <c r="M237" s="2">
        <v>11</v>
      </c>
      <c r="N237" s="2">
        <v>13</v>
      </c>
      <c r="O237" s="2">
        <v>14</v>
      </c>
      <c r="P237" s="2">
        <v>24</v>
      </c>
      <c r="Q237" s="2">
        <v>32</v>
      </c>
      <c r="R237" s="2">
        <v>40</v>
      </c>
      <c r="S237" s="2">
        <v>48</v>
      </c>
      <c r="T237" s="2">
        <v>49</v>
      </c>
      <c r="U237" s="2">
        <v>39</v>
      </c>
      <c r="V237" s="2">
        <v>17</v>
      </c>
      <c r="W237" s="2">
        <v>35</v>
      </c>
      <c r="X237" s="2">
        <v>49</v>
      </c>
      <c r="Y237" s="2">
        <v>54</v>
      </c>
      <c r="Z237" s="2">
        <v>75</v>
      </c>
      <c r="AA237" s="2">
        <v>58</v>
      </c>
      <c r="AB237" s="2">
        <v>35</v>
      </c>
      <c r="AC237" s="2">
        <v>43</v>
      </c>
      <c r="AD237" s="2">
        <v>52</v>
      </c>
      <c r="AE237" s="2">
        <v>56</v>
      </c>
      <c r="AF237" s="2">
        <v>72</v>
      </c>
      <c r="AG237" s="2">
        <v>102</v>
      </c>
      <c r="AH237" s="2">
        <v>82</v>
      </c>
      <c r="AI237" s="2">
        <v>76</v>
      </c>
      <c r="AJ237" s="2">
        <v>58</v>
      </c>
      <c r="AK237" s="2">
        <v>73</v>
      </c>
      <c r="AL237" s="2">
        <v>119</v>
      </c>
      <c r="AM237" s="2">
        <v>113</v>
      </c>
      <c r="AN237" s="2">
        <v>72</v>
      </c>
      <c r="AO237" s="2">
        <v>52</v>
      </c>
      <c r="AP237" s="2">
        <v>58</v>
      </c>
    </row>
    <row r="238" spans="1:42" s="2" customFormat="1" ht="12.75">
      <c r="A238" s="4" t="s">
        <v>145</v>
      </c>
      <c r="B238" s="2">
        <v>18.4</v>
      </c>
      <c r="C238" s="2">
        <v>19</v>
      </c>
      <c r="D238" s="2">
        <v>21.2</v>
      </c>
      <c r="E238" s="2">
        <v>20.1</v>
      </c>
      <c r="F238" s="2">
        <v>20.1</v>
      </c>
      <c r="G238" s="2">
        <v>25.2</v>
      </c>
      <c r="H238" s="2">
        <v>32.9</v>
      </c>
      <c r="I238" s="2">
        <v>30.9</v>
      </c>
      <c r="J238" s="2">
        <v>36.3</v>
      </c>
      <c r="K238" s="2">
        <v>33.3</v>
      </c>
      <c r="L238" s="2">
        <v>31.8</v>
      </c>
      <c r="M238" s="2">
        <v>41</v>
      </c>
      <c r="N238" s="2">
        <v>44</v>
      </c>
      <c r="O238" s="2">
        <v>76</v>
      </c>
      <c r="P238" s="2">
        <v>96</v>
      </c>
      <c r="Q238" s="2">
        <v>182</v>
      </c>
      <c r="R238" s="2">
        <v>196</v>
      </c>
      <c r="S238" s="2">
        <v>148</v>
      </c>
      <c r="T238" s="2">
        <v>164</v>
      </c>
      <c r="U238" s="2">
        <v>117</v>
      </c>
      <c r="V238" s="2">
        <v>140</v>
      </c>
      <c r="W238" s="2">
        <v>182</v>
      </c>
      <c r="X238" s="2">
        <v>301</v>
      </c>
      <c r="Y238" s="2">
        <v>199</v>
      </c>
      <c r="Z238" s="2">
        <v>410</v>
      </c>
      <c r="AA238" s="2">
        <v>199</v>
      </c>
      <c r="AB238" s="2">
        <v>94</v>
      </c>
      <c r="AC238" s="2">
        <v>80</v>
      </c>
      <c r="AD238" s="2">
        <v>59</v>
      </c>
      <c r="AE238" s="2">
        <v>72</v>
      </c>
      <c r="AF238" s="2">
        <v>137</v>
      </c>
      <c r="AG238" s="2">
        <v>180</v>
      </c>
      <c r="AH238" s="2">
        <v>300</v>
      </c>
      <c r="AI238" s="2">
        <v>213</v>
      </c>
      <c r="AJ238" s="2">
        <v>200</v>
      </c>
      <c r="AK238" s="2">
        <v>207</v>
      </c>
      <c r="AL238" s="2">
        <v>204</v>
      </c>
      <c r="AM238" s="2">
        <v>226</v>
      </c>
      <c r="AN238" s="2">
        <v>200</v>
      </c>
      <c r="AO238" s="2">
        <v>201</v>
      </c>
      <c r="AP238" s="2">
        <v>219</v>
      </c>
    </row>
    <row r="239" spans="1:42" s="2" customFormat="1" ht="12.75">
      <c r="A239" s="4" t="s">
        <v>146</v>
      </c>
      <c r="B239" s="2">
        <v>1.1</v>
      </c>
      <c r="C239" s="2">
        <v>1.5</v>
      </c>
      <c r="D239" s="2">
        <v>5.1</v>
      </c>
      <c r="E239" s="2">
        <v>3.9</v>
      </c>
      <c r="F239" s="2">
        <v>4.4</v>
      </c>
      <c r="G239" s="2">
        <v>4.1</v>
      </c>
      <c r="H239" s="2">
        <v>5.5</v>
      </c>
      <c r="I239" s="2">
        <v>7.3</v>
      </c>
      <c r="J239" s="2">
        <v>9.7</v>
      </c>
      <c r="K239" s="2">
        <v>8.5</v>
      </c>
      <c r="L239" s="2">
        <v>8.5</v>
      </c>
      <c r="M239" s="2">
        <v>10</v>
      </c>
      <c r="N239" s="2">
        <v>19</v>
      </c>
      <c r="O239" s="2">
        <v>16</v>
      </c>
      <c r="P239" s="2">
        <v>30</v>
      </c>
      <c r="Q239" s="2">
        <v>39</v>
      </c>
      <c r="R239" s="2">
        <v>35</v>
      </c>
      <c r="S239" s="2">
        <v>45</v>
      </c>
      <c r="T239" s="2">
        <v>55</v>
      </c>
      <c r="U239" s="2">
        <v>35</v>
      </c>
      <c r="V239" s="2">
        <v>24</v>
      </c>
      <c r="W239" s="2">
        <v>54</v>
      </c>
      <c r="X239" s="2">
        <v>50</v>
      </c>
      <c r="Y239" s="2">
        <v>45</v>
      </c>
      <c r="Z239" s="2">
        <v>68</v>
      </c>
      <c r="AA239" s="2">
        <v>48</v>
      </c>
      <c r="AB239" s="2">
        <v>31</v>
      </c>
      <c r="AC239" s="2">
        <v>20</v>
      </c>
      <c r="AD239" s="2">
        <v>26</v>
      </c>
      <c r="AE239" s="2">
        <v>17</v>
      </c>
      <c r="AF239" s="2">
        <v>63</v>
      </c>
      <c r="AG239" s="2">
        <v>108</v>
      </c>
      <c r="AH239" s="2">
        <v>99</v>
      </c>
      <c r="AI239" s="2">
        <v>181</v>
      </c>
      <c r="AJ239" s="2">
        <v>64</v>
      </c>
      <c r="AK239" s="2">
        <v>55</v>
      </c>
      <c r="AL239" s="2">
        <v>56</v>
      </c>
      <c r="AM239" s="2">
        <v>73</v>
      </c>
      <c r="AN239" s="2">
        <v>97</v>
      </c>
      <c r="AO239" s="2">
        <v>64</v>
      </c>
      <c r="AP239" s="2">
        <v>68</v>
      </c>
    </row>
    <row r="240" spans="1:42" s="2" customFormat="1" ht="12.75">
      <c r="A240" s="4" t="s">
        <v>29</v>
      </c>
      <c r="B240" s="2">
        <v>1.7</v>
      </c>
      <c r="C240" s="2">
        <v>1.7</v>
      </c>
      <c r="D240" s="2">
        <v>2</v>
      </c>
      <c r="E240" s="2">
        <v>3.2</v>
      </c>
      <c r="F240" s="2">
        <v>3</v>
      </c>
      <c r="G240" s="2">
        <v>2.5</v>
      </c>
      <c r="H240" s="2">
        <v>1.9</v>
      </c>
      <c r="I240" s="2">
        <v>2.2</v>
      </c>
      <c r="J240" s="2">
        <v>2.9</v>
      </c>
      <c r="K240" s="2">
        <v>4.1</v>
      </c>
      <c r="L240" s="2">
        <v>3</v>
      </c>
      <c r="M240" s="2">
        <v>13</v>
      </c>
      <c r="N240" s="2">
        <v>9</v>
      </c>
      <c r="O240" s="2">
        <v>14</v>
      </c>
      <c r="P240" s="2">
        <v>39</v>
      </c>
      <c r="Q240" s="2">
        <v>91</v>
      </c>
      <c r="R240" s="2">
        <v>98</v>
      </c>
      <c r="S240" s="2">
        <v>124</v>
      </c>
      <c r="T240" s="2">
        <v>185</v>
      </c>
      <c r="U240" s="2">
        <v>127</v>
      </c>
      <c r="V240" s="2">
        <v>131</v>
      </c>
      <c r="W240" s="2">
        <v>390</v>
      </c>
      <c r="X240" s="2">
        <v>267</v>
      </c>
      <c r="Y240" s="2">
        <v>163</v>
      </c>
      <c r="Z240" s="2">
        <v>249</v>
      </c>
      <c r="AA240" s="2">
        <v>217</v>
      </c>
      <c r="AB240" s="2">
        <v>154</v>
      </c>
      <c r="AC240" s="2">
        <v>139</v>
      </c>
      <c r="AD240" s="2">
        <v>120</v>
      </c>
      <c r="AE240" s="2">
        <v>98</v>
      </c>
      <c r="AF240" s="2">
        <v>120</v>
      </c>
      <c r="AG240" s="2">
        <v>363</v>
      </c>
      <c r="AH240" s="2">
        <v>379</v>
      </c>
      <c r="AI240" s="2">
        <v>288</v>
      </c>
      <c r="AJ240" s="2">
        <v>229</v>
      </c>
      <c r="AK240" s="2">
        <v>314</v>
      </c>
      <c r="AL240" s="2">
        <v>281</v>
      </c>
      <c r="AM240" s="2">
        <v>358</v>
      </c>
      <c r="AN240" s="2">
        <v>278</v>
      </c>
      <c r="AO240" s="2">
        <v>279</v>
      </c>
      <c r="AP240" s="2">
        <v>303</v>
      </c>
    </row>
    <row r="241" s="15" customFormat="1" ht="12.75">
      <c r="A241" s="14"/>
    </row>
    <row r="242" spans="1:42" s="12" customFormat="1" ht="12.75">
      <c r="A242" s="16" t="s">
        <v>147</v>
      </c>
      <c r="B242" s="12">
        <v>6.8</v>
      </c>
      <c r="C242" s="12">
        <v>9.7</v>
      </c>
      <c r="D242" s="12">
        <v>9.1</v>
      </c>
      <c r="E242" s="12">
        <v>9.6</v>
      </c>
      <c r="F242" s="12">
        <v>5.1</v>
      </c>
      <c r="G242" s="12">
        <v>4.6</v>
      </c>
      <c r="H242" s="12">
        <v>4.7</v>
      </c>
      <c r="I242" s="12">
        <v>7.3</v>
      </c>
      <c r="J242" s="12">
        <v>9.3</v>
      </c>
      <c r="K242" s="12">
        <v>12.1</v>
      </c>
      <c r="L242" s="12">
        <v>9.6</v>
      </c>
      <c r="M242" s="12">
        <v>13</v>
      </c>
      <c r="N242" s="12">
        <v>15</v>
      </c>
      <c r="O242" s="12">
        <v>25</v>
      </c>
      <c r="P242" s="12">
        <v>14</v>
      </c>
      <c r="Q242" s="12">
        <v>13</v>
      </c>
      <c r="R242" s="12">
        <v>17</v>
      </c>
      <c r="S242" s="12">
        <v>23</v>
      </c>
      <c r="T242" s="12">
        <v>43</v>
      </c>
      <c r="U242" s="12">
        <v>28</v>
      </c>
      <c r="V242" s="12">
        <v>16</v>
      </c>
      <c r="W242" s="12">
        <v>88</v>
      </c>
      <c r="X242" s="12">
        <v>214</v>
      </c>
      <c r="Y242" s="12">
        <v>207</v>
      </c>
      <c r="Z242" s="12">
        <v>205</v>
      </c>
      <c r="AA242" s="12">
        <v>299</v>
      </c>
      <c r="AB242" s="12">
        <v>247</v>
      </c>
      <c r="AC242" s="12">
        <v>401</v>
      </c>
      <c r="AD242" s="12">
        <v>411</v>
      </c>
      <c r="AE242" s="12">
        <v>347</v>
      </c>
      <c r="AF242" s="12">
        <v>319</v>
      </c>
      <c r="AG242" s="12">
        <v>422</v>
      </c>
      <c r="AH242" s="12">
        <v>385</v>
      </c>
      <c r="AI242" s="12">
        <v>406</v>
      </c>
      <c r="AJ242" s="12">
        <v>83</v>
      </c>
      <c r="AK242" s="12">
        <v>324</v>
      </c>
      <c r="AL242" s="12">
        <v>228</v>
      </c>
      <c r="AM242" s="12">
        <v>377</v>
      </c>
      <c r="AN242" s="12">
        <v>265</v>
      </c>
      <c r="AO242" s="12">
        <v>186</v>
      </c>
      <c r="AP242" s="12">
        <v>215</v>
      </c>
    </row>
    <row r="243" s="2" customFormat="1" ht="12.75">
      <c r="A243" s="4"/>
    </row>
    <row r="244" spans="1:47" s="12" customFormat="1" ht="12.75">
      <c r="A244" s="16" t="s">
        <v>148</v>
      </c>
      <c r="B244" s="12">
        <v>9.6</v>
      </c>
      <c r="C244" s="12">
        <v>11.7</v>
      </c>
      <c r="D244" s="12">
        <v>8.1</v>
      </c>
      <c r="E244" s="12">
        <v>11.9</v>
      </c>
      <c r="F244" s="12">
        <v>11.6</v>
      </c>
      <c r="G244" s="12">
        <v>18.3</v>
      </c>
      <c r="H244" s="12">
        <v>27.5</v>
      </c>
      <c r="I244" s="12">
        <v>29.1</v>
      </c>
      <c r="J244" s="12">
        <v>27.4</v>
      </c>
      <c r="K244" s="12">
        <v>26.6</v>
      </c>
      <c r="L244" s="12">
        <v>28.3</v>
      </c>
      <c r="M244" s="12">
        <f aca="true" t="shared" si="190" ref="M244:AB244">SUM(M245:M246)</f>
        <v>42</v>
      </c>
      <c r="N244" s="12">
        <f t="shared" si="190"/>
        <v>45</v>
      </c>
      <c r="O244" s="12">
        <f t="shared" si="190"/>
        <v>59</v>
      </c>
      <c r="P244" s="12">
        <f t="shared" si="190"/>
        <v>61</v>
      </c>
      <c r="Q244" s="12">
        <f t="shared" si="190"/>
        <v>240</v>
      </c>
      <c r="R244" s="12">
        <f t="shared" si="190"/>
        <v>291</v>
      </c>
      <c r="S244" s="12">
        <f t="shared" si="190"/>
        <v>137</v>
      </c>
      <c r="T244" s="12">
        <f t="shared" si="190"/>
        <v>186</v>
      </c>
      <c r="U244" s="12">
        <f t="shared" si="190"/>
        <v>152</v>
      </c>
      <c r="V244" s="12">
        <f t="shared" si="190"/>
        <v>267</v>
      </c>
      <c r="W244" s="12">
        <f t="shared" si="190"/>
        <v>113</v>
      </c>
      <c r="X244" s="12">
        <f t="shared" si="190"/>
        <v>294</v>
      </c>
      <c r="Y244" s="12">
        <f t="shared" si="190"/>
        <v>192</v>
      </c>
      <c r="Z244" s="12">
        <f t="shared" si="190"/>
        <v>338</v>
      </c>
      <c r="AA244" s="12">
        <f t="shared" si="190"/>
        <v>361</v>
      </c>
      <c r="AB244" s="12">
        <f t="shared" si="190"/>
        <v>310</v>
      </c>
      <c r="AC244" s="12">
        <f aca="true" t="shared" si="191" ref="AC244:AQ244">SUM(AC245:AC246)</f>
        <v>184</v>
      </c>
      <c r="AD244" s="12">
        <f t="shared" si="191"/>
        <v>373</v>
      </c>
      <c r="AE244" s="12">
        <f t="shared" si="191"/>
        <v>130</v>
      </c>
      <c r="AF244" s="12">
        <f t="shared" si="191"/>
        <v>359</v>
      </c>
      <c r="AG244" s="12">
        <f t="shared" si="191"/>
        <v>323</v>
      </c>
      <c r="AH244" s="12">
        <f t="shared" si="191"/>
        <v>278</v>
      </c>
      <c r="AI244" s="12">
        <f t="shared" si="191"/>
        <v>300</v>
      </c>
      <c r="AJ244" s="12">
        <f t="shared" si="191"/>
        <v>431</v>
      </c>
      <c r="AK244" s="12">
        <f t="shared" si="191"/>
        <v>392</v>
      </c>
      <c r="AL244" s="12">
        <f t="shared" si="191"/>
        <v>490</v>
      </c>
      <c r="AM244" s="12">
        <f t="shared" si="191"/>
        <v>602</v>
      </c>
      <c r="AN244" s="12">
        <f t="shared" si="191"/>
        <v>434</v>
      </c>
      <c r="AO244" s="12">
        <f t="shared" si="191"/>
        <v>654</v>
      </c>
      <c r="AP244" s="12">
        <f t="shared" si="191"/>
        <v>466</v>
      </c>
      <c r="AQ244" s="12">
        <f t="shared" si="191"/>
        <v>0</v>
      </c>
      <c r="AR244" s="12">
        <f>SUM(AR245:AR246)</f>
        <v>0</v>
      </c>
      <c r="AS244" s="12">
        <f>SUM(AS245:AS246)</f>
        <v>0</v>
      </c>
      <c r="AT244" s="12">
        <f>SUM(AT245:AT246)</f>
        <v>0</v>
      </c>
      <c r="AU244" s="12">
        <f>SUM(AU245:AU246)</f>
        <v>0</v>
      </c>
    </row>
    <row r="245" spans="1:42" s="2" customFormat="1" ht="12.75">
      <c r="A245" s="4" t="s">
        <v>149</v>
      </c>
      <c r="B245" s="2" t="s">
        <v>92</v>
      </c>
      <c r="C245" s="2" t="s">
        <v>92</v>
      </c>
      <c r="D245" s="2" t="s">
        <v>92</v>
      </c>
      <c r="E245" s="2" t="s">
        <v>92</v>
      </c>
      <c r="F245" s="2" t="s">
        <v>92</v>
      </c>
      <c r="G245" s="2" t="s">
        <v>92</v>
      </c>
      <c r="H245" s="2" t="s">
        <v>92</v>
      </c>
      <c r="I245" s="2" t="s">
        <v>92</v>
      </c>
      <c r="J245" s="2" t="s">
        <v>92</v>
      </c>
      <c r="K245" s="2" t="s">
        <v>92</v>
      </c>
      <c r="L245" s="2" t="s">
        <v>92</v>
      </c>
      <c r="M245" s="2">
        <v>37</v>
      </c>
      <c r="N245" s="2">
        <v>40</v>
      </c>
      <c r="O245" s="2">
        <v>52</v>
      </c>
      <c r="P245" s="2">
        <v>51</v>
      </c>
      <c r="Q245" s="2">
        <v>221</v>
      </c>
      <c r="R245" s="2">
        <v>242</v>
      </c>
      <c r="S245" s="2">
        <v>119</v>
      </c>
      <c r="T245" s="2">
        <v>156</v>
      </c>
      <c r="U245" s="2">
        <v>139</v>
      </c>
      <c r="V245" s="2">
        <v>231</v>
      </c>
      <c r="W245" s="2">
        <v>51</v>
      </c>
      <c r="X245" s="2">
        <v>207</v>
      </c>
      <c r="Y245" s="2">
        <v>171</v>
      </c>
      <c r="Z245" s="2">
        <v>304</v>
      </c>
      <c r="AA245" s="2">
        <v>344</v>
      </c>
      <c r="AB245" s="2">
        <v>292</v>
      </c>
      <c r="AC245" s="2">
        <v>163</v>
      </c>
      <c r="AD245" s="2">
        <v>339</v>
      </c>
      <c r="AE245" s="2">
        <v>109</v>
      </c>
      <c r="AF245" s="2">
        <v>316</v>
      </c>
      <c r="AG245" s="2">
        <v>279</v>
      </c>
      <c r="AH245" s="2">
        <v>235</v>
      </c>
      <c r="AI245" s="2">
        <v>274</v>
      </c>
      <c r="AJ245" s="2">
        <v>414</v>
      </c>
      <c r="AK245" s="2">
        <v>376</v>
      </c>
      <c r="AL245" s="2">
        <v>455</v>
      </c>
      <c r="AM245" s="2">
        <v>580</v>
      </c>
      <c r="AN245" s="2">
        <v>420</v>
      </c>
      <c r="AO245" s="2">
        <v>633</v>
      </c>
      <c r="AP245" s="2">
        <v>449</v>
      </c>
    </row>
    <row r="246" spans="1:42" s="2" customFormat="1" ht="12.75">
      <c r="A246" s="4" t="s">
        <v>29</v>
      </c>
      <c r="B246" s="2" t="s">
        <v>92</v>
      </c>
      <c r="C246" s="2" t="s">
        <v>92</v>
      </c>
      <c r="D246" s="2" t="s">
        <v>92</v>
      </c>
      <c r="E246" s="2" t="s">
        <v>92</v>
      </c>
      <c r="F246" s="2" t="s">
        <v>92</v>
      </c>
      <c r="G246" s="2" t="s">
        <v>92</v>
      </c>
      <c r="H246" s="2" t="s">
        <v>92</v>
      </c>
      <c r="I246" s="2" t="s">
        <v>92</v>
      </c>
      <c r="J246" s="2" t="s">
        <v>92</v>
      </c>
      <c r="K246" s="2" t="s">
        <v>92</v>
      </c>
      <c r="L246" s="2" t="s">
        <v>92</v>
      </c>
      <c r="M246" s="2">
        <v>5</v>
      </c>
      <c r="N246" s="2">
        <v>5</v>
      </c>
      <c r="O246" s="2">
        <v>7</v>
      </c>
      <c r="P246" s="2">
        <v>10</v>
      </c>
      <c r="Q246" s="2">
        <v>19</v>
      </c>
      <c r="R246" s="2">
        <v>49</v>
      </c>
      <c r="S246" s="2">
        <v>18</v>
      </c>
      <c r="T246" s="2">
        <v>30</v>
      </c>
      <c r="U246" s="2">
        <v>13</v>
      </c>
      <c r="V246" s="2">
        <v>36</v>
      </c>
      <c r="W246" s="2">
        <v>62</v>
      </c>
      <c r="X246" s="2">
        <v>87</v>
      </c>
      <c r="Y246" s="2">
        <v>21</v>
      </c>
      <c r="Z246" s="2">
        <v>34</v>
      </c>
      <c r="AA246" s="2">
        <v>17</v>
      </c>
      <c r="AB246" s="2">
        <v>18</v>
      </c>
      <c r="AC246" s="2">
        <v>21</v>
      </c>
      <c r="AD246" s="2">
        <v>34</v>
      </c>
      <c r="AE246" s="2">
        <v>21</v>
      </c>
      <c r="AF246" s="2">
        <v>43</v>
      </c>
      <c r="AG246" s="2">
        <v>44</v>
      </c>
      <c r="AH246" s="2">
        <v>43</v>
      </c>
      <c r="AI246" s="2">
        <v>26</v>
      </c>
      <c r="AJ246" s="2">
        <v>17</v>
      </c>
      <c r="AK246" s="2">
        <v>16</v>
      </c>
      <c r="AL246" s="2">
        <v>35</v>
      </c>
      <c r="AM246" s="2">
        <v>22</v>
      </c>
      <c r="AN246" s="2">
        <v>14</v>
      </c>
      <c r="AO246" s="2">
        <v>21</v>
      </c>
      <c r="AP246" s="2">
        <v>17</v>
      </c>
    </row>
    <row r="247" s="2" customFormat="1" ht="12.75">
      <c r="A247" s="4"/>
    </row>
    <row r="248" spans="1:47" s="12" customFormat="1" ht="12.75">
      <c r="A248" s="16" t="s">
        <v>150</v>
      </c>
      <c r="B248" s="12">
        <f aca="true" t="shared" si="192" ref="B248:Q248">SUM(B249:B254)</f>
        <v>38.5</v>
      </c>
      <c r="C248" s="12">
        <f t="shared" si="192"/>
        <v>53.5</v>
      </c>
      <c r="D248" s="12">
        <f t="shared" si="192"/>
        <v>56.599999999999994</v>
      </c>
      <c r="E248" s="12">
        <f t="shared" si="192"/>
        <v>64.3</v>
      </c>
      <c r="F248" s="12">
        <f t="shared" si="192"/>
        <v>62</v>
      </c>
      <c r="G248" s="12">
        <f t="shared" si="192"/>
        <v>82.10000000000001</v>
      </c>
      <c r="H248" s="12">
        <f t="shared" si="192"/>
        <v>92.7</v>
      </c>
      <c r="I248" s="12">
        <f t="shared" si="192"/>
        <v>104.2</v>
      </c>
      <c r="J248" s="12">
        <f t="shared" si="192"/>
        <v>119.80000000000001</v>
      </c>
      <c r="K248" s="12">
        <f t="shared" si="192"/>
        <v>142.29999999999998</v>
      </c>
      <c r="L248" s="12">
        <f t="shared" si="192"/>
        <v>163.3</v>
      </c>
      <c r="M248" s="12">
        <f t="shared" si="192"/>
        <v>155</v>
      </c>
      <c r="N248" s="12">
        <f t="shared" si="192"/>
        <v>164</v>
      </c>
      <c r="O248" s="12">
        <f t="shared" si="192"/>
        <v>222</v>
      </c>
      <c r="P248" s="12">
        <f t="shared" si="192"/>
        <v>356</v>
      </c>
      <c r="Q248" s="12">
        <f t="shared" si="192"/>
        <v>649</v>
      </c>
      <c r="R248" s="12">
        <f aca="true" t="shared" si="193" ref="R248:AG248">SUM(R249:R254)</f>
        <v>835</v>
      </c>
      <c r="S248" s="12">
        <f t="shared" si="193"/>
        <v>858</v>
      </c>
      <c r="T248" s="12">
        <f t="shared" si="193"/>
        <v>1040</v>
      </c>
      <c r="U248" s="12">
        <f t="shared" si="193"/>
        <v>792</v>
      </c>
      <c r="V248" s="12">
        <f t="shared" si="193"/>
        <v>1085</v>
      </c>
      <c r="W248" s="12">
        <f t="shared" si="193"/>
        <v>1521</v>
      </c>
      <c r="X248" s="12">
        <f t="shared" si="193"/>
        <v>2180</v>
      </c>
      <c r="Y248" s="12">
        <f t="shared" si="193"/>
        <v>1679</v>
      </c>
      <c r="Z248" s="12">
        <f t="shared" si="193"/>
        <v>2084</v>
      </c>
      <c r="AA248" s="12">
        <f t="shared" si="193"/>
        <v>1768</v>
      </c>
      <c r="AB248" s="12">
        <f t="shared" si="193"/>
        <v>1163</v>
      </c>
      <c r="AC248" s="12">
        <f t="shared" si="193"/>
        <v>1369</v>
      </c>
      <c r="AD248" s="12">
        <f t="shared" si="193"/>
        <v>1428</v>
      </c>
      <c r="AE248" s="12">
        <f t="shared" si="193"/>
        <v>1304</v>
      </c>
      <c r="AF248" s="12">
        <f t="shared" si="193"/>
        <v>2048</v>
      </c>
      <c r="AG248" s="12">
        <f t="shared" si="193"/>
        <v>2876</v>
      </c>
      <c r="AH248" s="12">
        <f aca="true" t="shared" si="194" ref="AH248:AS248">SUM(AH249:AH254)</f>
        <v>2892</v>
      </c>
      <c r="AI248" s="12">
        <f t="shared" si="194"/>
        <v>2689</v>
      </c>
      <c r="AJ248" s="12">
        <f t="shared" si="194"/>
        <v>2023</v>
      </c>
      <c r="AK248" s="12">
        <f t="shared" si="194"/>
        <v>1376</v>
      </c>
      <c r="AL248" s="12">
        <f t="shared" si="194"/>
        <v>1733</v>
      </c>
      <c r="AM248" s="12">
        <f t="shared" si="194"/>
        <v>1931</v>
      </c>
      <c r="AN248" s="12">
        <f t="shared" si="194"/>
        <v>1890</v>
      </c>
      <c r="AO248" s="12">
        <f t="shared" si="194"/>
        <v>1774</v>
      </c>
      <c r="AP248" s="12">
        <f t="shared" si="194"/>
        <v>1894</v>
      </c>
      <c r="AQ248" s="12">
        <f t="shared" si="194"/>
        <v>0</v>
      </c>
      <c r="AR248" s="12">
        <f t="shared" si="194"/>
        <v>0</v>
      </c>
      <c r="AS248" s="12">
        <f t="shared" si="194"/>
        <v>0</v>
      </c>
      <c r="AT248" s="12">
        <f>SUM(AT249:AT254)</f>
        <v>0</v>
      </c>
      <c r="AU248" s="12">
        <f>SUM(AU249:AU254)</f>
        <v>0</v>
      </c>
    </row>
    <row r="249" spans="1:42" s="2" customFormat="1" ht="12.75">
      <c r="A249" s="4" t="s">
        <v>151</v>
      </c>
      <c r="B249" s="2">
        <v>27.7</v>
      </c>
      <c r="C249" s="2">
        <v>41.1</v>
      </c>
      <c r="D249" s="2">
        <v>43.6</v>
      </c>
      <c r="E249" s="2">
        <v>50.2</v>
      </c>
      <c r="F249" s="2">
        <v>46.7</v>
      </c>
      <c r="G249" s="2">
        <v>62.5</v>
      </c>
      <c r="H249" s="2">
        <v>70.4</v>
      </c>
      <c r="I249" s="2">
        <v>82.5</v>
      </c>
      <c r="J249" s="2">
        <v>94.4</v>
      </c>
      <c r="K249" s="2">
        <v>115.5</v>
      </c>
      <c r="L249" s="2">
        <v>121.5</v>
      </c>
      <c r="M249" s="2">
        <v>20</v>
      </c>
      <c r="N249" s="2">
        <v>24</v>
      </c>
      <c r="O249" s="2">
        <v>39</v>
      </c>
      <c r="P249" s="2">
        <v>62</v>
      </c>
      <c r="Q249" s="2">
        <v>117</v>
      </c>
      <c r="R249" s="2">
        <v>140</v>
      </c>
      <c r="S249" s="2">
        <v>146</v>
      </c>
      <c r="T249" s="2">
        <v>170</v>
      </c>
      <c r="U249" s="2">
        <v>130</v>
      </c>
      <c r="V249" s="2">
        <v>141</v>
      </c>
      <c r="W249" s="2">
        <v>161</v>
      </c>
      <c r="X249" s="2">
        <v>291</v>
      </c>
      <c r="Y249" s="2">
        <v>267</v>
      </c>
      <c r="Z249" s="2">
        <v>351</v>
      </c>
      <c r="AA249" s="2">
        <v>252</v>
      </c>
      <c r="AB249" s="2">
        <v>268</v>
      </c>
      <c r="AC249" s="2">
        <v>274</v>
      </c>
      <c r="AD249" s="2">
        <v>288</v>
      </c>
      <c r="AE249" s="2">
        <v>259</v>
      </c>
      <c r="AF249" s="2">
        <v>429</v>
      </c>
      <c r="AG249" s="2">
        <v>633</v>
      </c>
      <c r="AH249" s="2">
        <v>632</v>
      </c>
      <c r="AI249" s="2">
        <v>524</v>
      </c>
      <c r="AJ249" s="2">
        <v>405</v>
      </c>
      <c r="AK249" s="2">
        <v>306</v>
      </c>
      <c r="AL249" s="2">
        <v>430</v>
      </c>
      <c r="AM249" s="2">
        <v>571</v>
      </c>
      <c r="AN249" s="2">
        <v>494</v>
      </c>
      <c r="AO249" s="2">
        <v>458</v>
      </c>
      <c r="AP249" s="2">
        <v>470</v>
      </c>
    </row>
    <row r="250" spans="1:42" s="2" customFormat="1" ht="12.75">
      <c r="A250" s="4" t="s">
        <v>152</v>
      </c>
      <c r="B250" s="2">
        <v>7</v>
      </c>
      <c r="C250" s="2">
        <v>8.9</v>
      </c>
      <c r="D250" s="2">
        <v>9.7</v>
      </c>
      <c r="E250" s="2">
        <v>9.8</v>
      </c>
      <c r="F250" s="2">
        <v>11.3</v>
      </c>
      <c r="G250" s="2">
        <v>14.7</v>
      </c>
      <c r="H250" s="2">
        <v>16.1</v>
      </c>
      <c r="I250" s="2">
        <v>15.5</v>
      </c>
      <c r="J250" s="2">
        <v>18.4</v>
      </c>
      <c r="K250" s="2">
        <v>20.7</v>
      </c>
      <c r="L250" s="2">
        <v>20.9</v>
      </c>
      <c r="M250" s="2">
        <v>22</v>
      </c>
      <c r="N250" s="2">
        <v>26</v>
      </c>
      <c r="O250" s="2">
        <v>34</v>
      </c>
      <c r="P250" s="2">
        <v>44</v>
      </c>
      <c r="Q250" s="2">
        <v>71</v>
      </c>
      <c r="R250" s="2">
        <v>69</v>
      </c>
      <c r="S250" s="2">
        <v>74</v>
      </c>
      <c r="T250" s="2">
        <v>93</v>
      </c>
      <c r="U250" s="2">
        <v>74</v>
      </c>
      <c r="V250" s="2">
        <v>82</v>
      </c>
      <c r="W250" s="2">
        <v>90</v>
      </c>
      <c r="X250" s="2">
        <v>124</v>
      </c>
      <c r="Y250" s="2">
        <v>71</v>
      </c>
      <c r="Z250" s="2">
        <v>132</v>
      </c>
      <c r="AA250" s="2">
        <v>213</v>
      </c>
      <c r="AB250" s="2">
        <v>71</v>
      </c>
      <c r="AC250" s="2">
        <v>50</v>
      </c>
      <c r="AD250" s="2">
        <v>62</v>
      </c>
      <c r="AE250" s="2">
        <v>46</v>
      </c>
      <c r="AF250" s="2">
        <v>74</v>
      </c>
      <c r="AG250" s="2">
        <v>166</v>
      </c>
      <c r="AH250" s="2">
        <v>183</v>
      </c>
      <c r="AI250" s="2">
        <v>198</v>
      </c>
      <c r="AJ250" s="2">
        <v>123</v>
      </c>
      <c r="AK250" s="2">
        <v>86</v>
      </c>
      <c r="AL250" s="2">
        <v>101</v>
      </c>
      <c r="AM250" s="2">
        <v>116</v>
      </c>
      <c r="AN250" s="2">
        <v>169</v>
      </c>
      <c r="AO250" s="2">
        <v>135</v>
      </c>
      <c r="AP250" s="2">
        <v>129</v>
      </c>
    </row>
    <row r="251" spans="1:42" s="2" customFormat="1" ht="12.75">
      <c r="A251" s="4" t="s">
        <v>153</v>
      </c>
      <c r="B251" s="2" t="s">
        <v>92</v>
      </c>
      <c r="C251" s="2" t="s">
        <v>92</v>
      </c>
      <c r="D251" s="2" t="s">
        <v>92</v>
      </c>
      <c r="E251" s="2" t="s">
        <v>92</v>
      </c>
      <c r="F251" s="2" t="s">
        <v>92</v>
      </c>
      <c r="G251" s="2" t="s">
        <v>92</v>
      </c>
      <c r="H251" s="2" t="s">
        <v>92</v>
      </c>
      <c r="I251" s="2" t="s">
        <v>92</v>
      </c>
      <c r="J251" s="2" t="s">
        <v>92</v>
      </c>
      <c r="K251" s="2" t="s">
        <v>92</v>
      </c>
      <c r="L251" s="2" t="s">
        <v>92</v>
      </c>
      <c r="M251" s="2">
        <v>48</v>
      </c>
      <c r="N251" s="2">
        <v>50</v>
      </c>
      <c r="O251" s="2">
        <v>67</v>
      </c>
      <c r="P251" s="2">
        <v>97</v>
      </c>
      <c r="Q251" s="2">
        <v>149</v>
      </c>
      <c r="R251" s="2">
        <v>208</v>
      </c>
      <c r="S251" s="2">
        <v>212</v>
      </c>
      <c r="T251" s="2">
        <v>277</v>
      </c>
      <c r="U251" s="2">
        <v>247</v>
      </c>
      <c r="V251" s="2">
        <v>354</v>
      </c>
      <c r="W251" s="2">
        <v>468</v>
      </c>
      <c r="X251" s="2">
        <v>525</v>
      </c>
      <c r="Y251" s="2">
        <v>398</v>
      </c>
      <c r="Z251" s="2">
        <v>356</v>
      </c>
      <c r="AA251" s="2">
        <v>206</v>
      </c>
      <c r="AB251" s="2">
        <v>156</v>
      </c>
      <c r="AC251" s="2">
        <v>258</v>
      </c>
      <c r="AD251" s="2">
        <v>258</v>
      </c>
      <c r="AE251" s="2">
        <v>226</v>
      </c>
      <c r="AF251" s="2">
        <v>254</v>
      </c>
      <c r="AG251" s="2">
        <v>386</v>
      </c>
      <c r="AH251" s="2">
        <v>369</v>
      </c>
      <c r="AI251" s="2">
        <v>324</v>
      </c>
      <c r="AJ251" s="2">
        <v>276</v>
      </c>
      <c r="AK251" s="2">
        <v>275</v>
      </c>
      <c r="AL251" s="2">
        <v>431</v>
      </c>
      <c r="AM251" s="2">
        <v>448</v>
      </c>
      <c r="AN251" s="2">
        <v>393</v>
      </c>
      <c r="AO251" s="2">
        <v>329</v>
      </c>
      <c r="AP251" s="2">
        <v>393</v>
      </c>
    </row>
    <row r="252" spans="1:42" s="2" customFormat="1" ht="12.75">
      <c r="A252" s="4" t="s">
        <v>154</v>
      </c>
      <c r="M252" s="2">
        <v>16</v>
      </c>
      <c r="N252" s="2">
        <v>18</v>
      </c>
      <c r="O252" s="2">
        <v>30</v>
      </c>
      <c r="P252" s="2">
        <v>79</v>
      </c>
      <c r="Q252" s="2">
        <v>130</v>
      </c>
      <c r="R252" s="2">
        <v>174</v>
      </c>
      <c r="S252" s="2">
        <v>220</v>
      </c>
      <c r="T252" s="2">
        <v>263</v>
      </c>
      <c r="U252" s="2">
        <v>170</v>
      </c>
      <c r="V252" s="2">
        <v>239</v>
      </c>
      <c r="W252" s="2">
        <v>425</v>
      </c>
      <c r="X252" s="2">
        <v>450</v>
      </c>
      <c r="Y252" s="2">
        <v>304</v>
      </c>
      <c r="Z252" s="2">
        <v>514</v>
      </c>
      <c r="AA252" s="2">
        <v>393</v>
      </c>
      <c r="AB252" s="2">
        <v>218</v>
      </c>
      <c r="AC252" s="2">
        <v>275</v>
      </c>
      <c r="AD252" s="2">
        <v>212</v>
      </c>
      <c r="AE252" s="2">
        <v>204</v>
      </c>
      <c r="AF252" s="2">
        <v>368</v>
      </c>
      <c r="AG252" s="2">
        <v>790</v>
      </c>
      <c r="AH252" s="2">
        <v>572</v>
      </c>
      <c r="AI252" s="2">
        <v>690</v>
      </c>
      <c r="AJ252" s="2">
        <v>516</v>
      </c>
      <c r="AK252" s="2">
        <v>237</v>
      </c>
      <c r="AL252" s="2">
        <v>259</v>
      </c>
      <c r="AM252" s="2">
        <v>385</v>
      </c>
      <c r="AN252" s="2">
        <v>403</v>
      </c>
      <c r="AO252" s="2">
        <v>413</v>
      </c>
      <c r="AP252" s="2">
        <v>391</v>
      </c>
    </row>
    <row r="253" spans="1:42" s="2" customFormat="1" ht="12.75">
      <c r="A253" s="4" t="s">
        <v>155</v>
      </c>
      <c r="B253" s="2">
        <v>3.8</v>
      </c>
      <c r="C253" s="2">
        <v>3.5</v>
      </c>
      <c r="D253" s="2">
        <v>3.3</v>
      </c>
      <c r="E253" s="2">
        <v>4.3</v>
      </c>
      <c r="F253" s="2">
        <v>4</v>
      </c>
      <c r="G253" s="2">
        <v>4.9</v>
      </c>
      <c r="H253" s="2">
        <v>6.2</v>
      </c>
      <c r="I253" s="2">
        <v>6.2</v>
      </c>
      <c r="J253" s="2">
        <v>7</v>
      </c>
      <c r="K253" s="2">
        <v>6.1</v>
      </c>
      <c r="L253" s="2">
        <v>20.9</v>
      </c>
      <c r="M253" s="2">
        <v>39</v>
      </c>
      <c r="N253" s="2">
        <v>40</v>
      </c>
      <c r="O253" s="2">
        <v>43</v>
      </c>
      <c r="P253" s="2">
        <v>60</v>
      </c>
      <c r="Q253" s="2">
        <v>97</v>
      </c>
      <c r="R253" s="2">
        <v>81</v>
      </c>
      <c r="S253" s="2">
        <v>116</v>
      </c>
      <c r="T253" s="2">
        <v>121</v>
      </c>
      <c r="U253" s="2">
        <v>90</v>
      </c>
      <c r="V253" s="2">
        <v>134</v>
      </c>
      <c r="W253" s="2">
        <v>124</v>
      </c>
      <c r="X253" s="2">
        <v>297</v>
      </c>
      <c r="Y253" s="2">
        <v>253</v>
      </c>
      <c r="Z253" s="2">
        <v>306</v>
      </c>
      <c r="AA253" s="2">
        <v>348</v>
      </c>
      <c r="AB253" s="2">
        <v>157</v>
      </c>
      <c r="AC253" s="2">
        <v>211</v>
      </c>
      <c r="AD253" s="2">
        <v>317</v>
      </c>
      <c r="AE253" s="2">
        <v>208</v>
      </c>
      <c r="AF253" s="2">
        <v>479</v>
      </c>
      <c r="AG253" s="2">
        <v>559</v>
      </c>
      <c r="AH253" s="2">
        <v>821</v>
      </c>
      <c r="AI253" s="2">
        <v>636</v>
      </c>
      <c r="AJ253" s="2">
        <v>509</v>
      </c>
      <c r="AK253" s="2">
        <v>313</v>
      </c>
      <c r="AL253" s="2">
        <v>293</v>
      </c>
      <c r="AM253" s="2">
        <v>242</v>
      </c>
      <c r="AN253" s="2">
        <v>267</v>
      </c>
      <c r="AO253" s="2">
        <v>316</v>
      </c>
      <c r="AP253" s="2">
        <v>361</v>
      </c>
    </row>
    <row r="254" spans="1:42" s="2" customFormat="1" ht="12.75">
      <c r="A254" s="4" t="s">
        <v>29</v>
      </c>
      <c r="M254" s="2">
        <v>10</v>
      </c>
      <c r="N254" s="2">
        <v>6</v>
      </c>
      <c r="O254" s="2">
        <v>9</v>
      </c>
      <c r="P254" s="2">
        <v>14</v>
      </c>
      <c r="Q254" s="2">
        <v>85</v>
      </c>
      <c r="R254" s="2">
        <v>163</v>
      </c>
      <c r="S254" s="2">
        <v>90</v>
      </c>
      <c r="T254" s="2">
        <v>116</v>
      </c>
      <c r="U254" s="2">
        <v>81</v>
      </c>
      <c r="V254" s="2">
        <v>135</v>
      </c>
      <c r="W254" s="2">
        <v>253</v>
      </c>
      <c r="X254" s="2">
        <v>493</v>
      </c>
      <c r="Y254" s="2">
        <v>386</v>
      </c>
      <c r="Z254" s="2">
        <v>425</v>
      </c>
      <c r="AA254" s="2">
        <v>356</v>
      </c>
      <c r="AB254" s="2">
        <v>293</v>
      </c>
      <c r="AC254" s="2">
        <v>301</v>
      </c>
      <c r="AD254" s="2">
        <v>291</v>
      </c>
      <c r="AE254" s="2">
        <v>361</v>
      </c>
      <c r="AF254" s="2">
        <v>444</v>
      </c>
      <c r="AG254" s="2">
        <v>342</v>
      </c>
      <c r="AH254" s="2">
        <v>315</v>
      </c>
      <c r="AI254" s="2">
        <v>317</v>
      </c>
      <c r="AJ254" s="2">
        <v>194</v>
      </c>
      <c r="AK254" s="2">
        <v>159</v>
      </c>
      <c r="AL254" s="2">
        <v>219</v>
      </c>
      <c r="AM254" s="2">
        <v>169</v>
      </c>
      <c r="AN254" s="2">
        <v>164</v>
      </c>
      <c r="AO254" s="2">
        <v>123</v>
      </c>
      <c r="AP254" s="2">
        <v>150</v>
      </c>
    </row>
    <row r="255" s="2" customFormat="1" ht="12.75">
      <c r="A255" s="4"/>
    </row>
    <row r="256" spans="1:47" s="12" customFormat="1" ht="12.75">
      <c r="A256" s="16" t="s">
        <v>156</v>
      </c>
      <c r="B256" s="12">
        <f>SUM(B257:B261)</f>
        <v>130.1</v>
      </c>
      <c r="C256" s="12">
        <f aca="true" t="shared" si="195" ref="C256:R256">SUM(C257:C261)</f>
        <v>163.4</v>
      </c>
      <c r="D256" s="12">
        <f t="shared" si="195"/>
        <v>148.20000000000002</v>
      </c>
      <c r="E256" s="12">
        <f t="shared" si="195"/>
        <v>153.40000000000003</v>
      </c>
      <c r="F256" s="12">
        <f t="shared" si="195"/>
        <v>139.70000000000002</v>
      </c>
      <c r="G256" s="12">
        <f t="shared" si="195"/>
        <v>182</v>
      </c>
      <c r="H256" s="12">
        <f t="shared" si="195"/>
        <v>229.3</v>
      </c>
      <c r="I256" s="12">
        <f t="shared" si="195"/>
        <v>261.2</v>
      </c>
      <c r="J256" s="12">
        <f t="shared" si="195"/>
        <v>368.7</v>
      </c>
      <c r="K256" s="12">
        <f t="shared" si="195"/>
        <v>426.29999999999995</v>
      </c>
      <c r="L256" s="12">
        <f t="shared" si="195"/>
        <v>469.2</v>
      </c>
      <c r="M256" s="12">
        <f t="shared" si="195"/>
        <v>588</v>
      </c>
      <c r="N256" s="12">
        <f t="shared" si="195"/>
        <v>648</v>
      </c>
      <c r="O256" s="12">
        <f t="shared" si="195"/>
        <v>758</v>
      </c>
      <c r="P256" s="12">
        <f t="shared" si="195"/>
        <v>1252</v>
      </c>
      <c r="Q256" s="12">
        <f t="shared" si="195"/>
        <v>2198</v>
      </c>
      <c r="R256" s="12">
        <f t="shared" si="195"/>
        <v>3342</v>
      </c>
      <c r="S256" s="12">
        <f aca="true" t="shared" si="196" ref="S256:AH256">SUM(S257:S261)</f>
        <v>4202</v>
      </c>
      <c r="T256" s="12">
        <f t="shared" si="196"/>
        <v>4251</v>
      </c>
      <c r="U256" s="12">
        <f t="shared" si="196"/>
        <v>2974</v>
      </c>
      <c r="V256" s="12">
        <f t="shared" si="196"/>
        <v>2908</v>
      </c>
      <c r="W256" s="12">
        <f t="shared" si="196"/>
        <v>3335</v>
      </c>
      <c r="X256" s="12">
        <f t="shared" si="196"/>
        <v>3986</v>
      </c>
      <c r="Y256" s="12">
        <f t="shared" si="196"/>
        <v>3507</v>
      </c>
      <c r="Z256" s="12">
        <f t="shared" si="196"/>
        <v>5326</v>
      </c>
      <c r="AA256" s="12">
        <f t="shared" si="196"/>
        <v>3561</v>
      </c>
      <c r="AB256" s="12">
        <f t="shared" si="196"/>
        <v>3356</v>
      </c>
      <c r="AC256" s="12">
        <f t="shared" si="196"/>
        <v>2258</v>
      </c>
      <c r="AD256" s="12">
        <f t="shared" si="196"/>
        <v>1952</v>
      </c>
      <c r="AE256" s="12">
        <f t="shared" si="196"/>
        <v>1623</v>
      </c>
      <c r="AF256" s="12">
        <f t="shared" si="196"/>
        <v>2553</v>
      </c>
      <c r="AG256" s="12">
        <f t="shared" si="196"/>
        <v>5153</v>
      </c>
      <c r="AH256" s="12">
        <f t="shared" si="196"/>
        <v>7075</v>
      </c>
      <c r="AI256" s="12">
        <f aca="true" t="shared" si="197" ref="AI256:AQ256">SUM(AI257:AI261)</f>
        <v>5507</v>
      </c>
      <c r="AJ256" s="12">
        <f t="shared" si="197"/>
        <v>3344</v>
      </c>
      <c r="AK256" s="12">
        <f t="shared" si="197"/>
        <v>1654</v>
      </c>
      <c r="AL256" s="12">
        <f t="shared" si="197"/>
        <v>2533</v>
      </c>
      <c r="AM256" s="12">
        <f t="shared" si="197"/>
        <v>3704</v>
      </c>
      <c r="AN256" s="12">
        <f t="shared" si="197"/>
        <v>2720</v>
      </c>
      <c r="AO256" s="12">
        <f t="shared" si="197"/>
        <v>2520</v>
      </c>
      <c r="AP256" s="12">
        <f t="shared" si="197"/>
        <v>2213</v>
      </c>
      <c r="AQ256" s="12">
        <f t="shared" si="197"/>
        <v>0</v>
      </c>
      <c r="AR256" s="12">
        <f>SUM(AR257:AR261)</f>
        <v>0</v>
      </c>
      <c r="AS256" s="12">
        <f>SUM(AS257:AS261)</f>
        <v>0</v>
      </c>
      <c r="AT256" s="12">
        <f>SUM(AT257:AT261)</f>
        <v>0</v>
      </c>
      <c r="AU256" s="12">
        <f>SUM(AU257:AU261)</f>
        <v>0</v>
      </c>
    </row>
    <row r="257" spans="1:42" s="2" customFormat="1" ht="12.75">
      <c r="A257" s="4" t="s">
        <v>157</v>
      </c>
      <c r="B257" s="2">
        <v>9.1</v>
      </c>
      <c r="C257" s="2">
        <v>11.6</v>
      </c>
      <c r="D257" s="2">
        <v>12.2</v>
      </c>
      <c r="E257" s="2">
        <v>13.8</v>
      </c>
      <c r="F257" s="2">
        <v>14.5</v>
      </c>
      <c r="G257" s="2">
        <v>18.6</v>
      </c>
      <c r="H257" s="2">
        <v>20.7</v>
      </c>
      <c r="I257" s="2">
        <v>23</v>
      </c>
      <c r="J257" s="2">
        <v>25.6</v>
      </c>
      <c r="K257" s="2">
        <v>33.4</v>
      </c>
      <c r="L257" s="2">
        <v>37</v>
      </c>
      <c r="M257" s="2">
        <v>48</v>
      </c>
      <c r="N257" s="2">
        <v>46</v>
      </c>
      <c r="O257" s="2">
        <v>60</v>
      </c>
      <c r="P257" s="2">
        <v>87</v>
      </c>
      <c r="Q257" s="2">
        <v>169</v>
      </c>
      <c r="R257" s="2">
        <v>142</v>
      </c>
      <c r="S257" s="2">
        <v>168</v>
      </c>
      <c r="T257" s="2">
        <v>230</v>
      </c>
      <c r="U257" s="2">
        <v>123</v>
      </c>
      <c r="V257" s="2">
        <v>166</v>
      </c>
      <c r="W257" s="2">
        <v>276</v>
      </c>
      <c r="X257" s="2">
        <v>333</v>
      </c>
      <c r="Y257" s="2">
        <v>216</v>
      </c>
      <c r="Z257" s="2">
        <v>285</v>
      </c>
      <c r="AA257" s="2">
        <v>207</v>
      </c>
      <c r="AB257" s="2">
        <v>193</v>
      </c>
      <c r="AC257" s="2">
        <v>138</v>
      </c>
      <c r="AD257" s="2">
        <v>224</v>
      </c>
      <c r="AE257" s="2">
        <v>190</v>
      </c>
      <c r="AF257" s="2">
        <v>326</v>
      </c>
      <c r="AG257" s="2">
        <v>404</v>
      </c>
      <c r="AH257" s="2">
        <v>516</v>
      </c>
      <c r="AI257" s="2">
        <v>395</v>
      </c>
      <c r="AJ257" s="2">
        <v>249</v>
      </c>
      <c r="AK257" s="2">
        <v>256</v>
      </c>
      <c r="AL257" s="2">
        <v>527</v>
      </c>
      <c r="AM257" s="2">
        <v>569</v>
      </c>
      <c r="AN257" s="2">
        <v>392</v>
      </c>
      <c r="AO257" s="2">
        <v>266</v>
      </c>
      <c r="AP257" s="2">
        <v>292</v>
      </c>
    </row>
    <row r="258" spans="1:42" s="2" customFormat="1" ht="12.75">
      <c r="A258" s="4" t="s">
        <v>158</v>
      </c>
      <c r="B258" s="2">
        <f>31+1.8</f>
        <v>32.8</v>
      </c>
      <c r="C258" s="2">
        <f>27.5+1.6</f>
        <v>29.1</v>
      </c>
      <c r="D258" s="2">
        <f>34.6+1.5</f>
        <v>36.1</v>
      </c>
      <c r="E258" s="2">
        <f>35.9+1</f>
        <v>36.9</v>
      </c>
      <c r="F258" s="2">
        <f>31.6+1.5</f>
        <v>33.1</v>
      </c>
      <c r="G258" s="2">
        <f>38.3+1.9</f>
        <v>40.199999999999996</v>
      </c>
      <c r="H258" s="2">
        <f>44.6+3.2</f>
        <v>47.800000000000004</v>
      </c>
      <c r="I258" s="2">
        <f>50.5+4.1</f>
        <v>54.6</v>
      </c>
      <c r="J258" s="2">
        <f>56.5+5.3</f>
        <v>61.8</v>
      </c>
      <c r="K258" s="2">
        <f>68.3+5.1</f>
        <v>73.39999999999999</v>
      </c>
      <c r="L258" s="2">
        <f>67.2+8</f>
        <v>75.2</v>
      </c>
      <c r="M258" s="2">
        <v>81</v>
      </c>
      <c r="N258" s="2">
        <v>84</v>
      </c>
      <c r="O258" s="2">
        <v>133</v>
      </c>
      <c r="P258" s="2">
        <v>225</v>
      </c>
      <c r="Q258" s="2">
        <v>305</v>
      </c>
      <c r="R258" s="2">
        <v>305</v>
      </c>
      <c r="S258" s="2">
        <v>537</v>
      </c>
      <c r="T258" s="2">
        <v>664</v>
      </c>
      <c r="U258" s="2">
        <v>335</v>
      </c>
      <c r="V258" s="2">
        <v>422</v>
      </c>
      <c r="W258" s="2">
        <v>655</v>
      </c>
      <c r="X258" s="2">
        <v>921</v>
      </c>
      <c r="Y258" s="2">
        <v>739</v>
      </c>
      <c r="Z258" s="2">
        <v>1476</v>
      </c>
      <c r="AA258" s="2">
        <v>998</v>
      </c>
      <c r="AB258" s="2">
        <v>595</v>
      </c>
      <c r="AC258" s="2">
        <v>450</v>
      </c>
      <c r="AD258" s="2">
        <v>218</v>
      </c>
      <c r="AE258" s="2">
        <v>210</v>
      </c>
      <c r="AF258" s="2">
        <v>423</v>
      </c>
      <c r="AG258" s="2">
        <v>460</v>
      </c>
      <c r="AH258" s="2">
        <v>730</v>
      </c>
      <c r="AI258" s="2">
        <v>637</v>
      </c>
      <c r="AJ258" s="2">
        <v>343</v>
      </c>
      <c r="AK258" s="2">
        <v>224</v>
      </c>
      <c r="AL258" s="2">
        <v>206</v>
      </c>
      <c r="AM258" s="2">
        <v>304</v>
      </c>
      <c r="AN258" s="2">
        <v>324</v>
      </c>
      <c r="AO258" s="2">
        <v>310</v>
      </c>
      <c r="AP258" s="2">
        <v>266</v>
      </c>
    </row>
    <row r="259" spans="1:42" s="2" customFormat="1" ht="12.75">
      <c r="A259" s="4" t="s">
        <v>159</v>
      </c>
      <c r="B259" s="49">
        <f>4.5+4.4</f>
        <v>8.9</v>
      </c>
      <c r="C259" s="2">
        <f>6.7+6.1</f>
        <v>12.8</v>
      </c>
      <c r="D259" s="2">
        <f>4.9+5.2</f>
        <v>10.100000000000001</v>
      </c>
      <c r="E259" s="2">
        <f>4.5+5.5</f>
        <v>10</v>
      </c>
      <c r="F259" s="2">
        <f>4.4+3.4</f>
        <v>7.800000000000001</v>
      </c>
      <c r="G259" s="2">
        <f>6.3+5.1</f>
        <v>11.399999999999999</v>
      </c>
      <c r="H259" s="2">
        <f>5.2+7.1</f>
        <v>12.3</v>
      </c>
      <c r="I259" s="2">
        <f>5.4+9.1</f>
        <v>14.5</v>
      </c>
      <c r="J259" s="2">
        <f>8+9.2</f>
        <v>17.2</v>
      </c>
      <c r="K259" s="2">
        <f>10.2+13.2</f>
        <v>23.4</v>
      </c>
      <c r="L259" s="2">
        <f>8.1+23.4</f>
        <v>31.5</v>
      </c>
      <c r="M259" s="2">
        <v>35</v>
      </c>
      <c r="N259" s="2">
        <v>29</v>
      </c>
      <c r="O259" s="2">
        <v>34</v>
      </c>
      <c r="P259" s="2">
        <v>103</v>
      </c>
      <c r="Q259" s="2">
        <v>104</v>
      </c>
      <c r="R259" s="2">
        <v>242</v>
      </c>
      <c r="S259" s="2">
        <v>388</v>
      </c>
      <c r="T259" s="2">
        <v>403</v>
      </c>
      <c r="U259" s="2">
        <v>331</v>
      </c>
      <c r="V259" s="2">
        <v>249</v>
      </c>
      <c r="W259" s="2">
        <v>310</v>
      </c>
      <c r="X259" s="2">
        <v>150</v>
      </c>
      <c r="Y259" s="2">
        <v>84</v>
      </c>
      <c r="Z259" s="2">
        <v>174</v>
      </c>
      <c r="AA259" s="2">
        <v>131</v>
      </c>
      <c r="AB259" s="2">
        <v>87</v>
      </c>
      <c r="AC259" s="2">
        <v>97</v>
      </c>
      <c r="AD259" s="2">
        <v>87</v>
      </c>
      <c r="AE259" s="2">
        <v>81</v>
      </c>
      <c r="AF259" s="2">
        <v>104</v>
      </c>
      <c r="AG259" s="2">
        <v>247</v>
      </c>
      <c r="AH259" s="2">
        <v>306</v>
      </c>
      <c r="AI259" s="2">
        <v>383</v>
      </c>
      <c r="AJ259" s="2">
        <v>250</v>
      </c>
      <c r="AK259" s="2">
        <v>129</v>
      </c>
      <c r="AL259" s="2">
        <v>136</v>
      </c>
      <c r="AM259" s="2">
        <v>137</v>
      </c>
      <c r="AN259" s="2">
        <v>163</v>
      </c>
      <c r="AO259" s="2">
        <v>166</v>
      </c>
      <c r="AP259" s="2">
        <v>139</v>
      </c>
    </row>
    <row r="260" spans="1:42" s="2" customFormat="1" ht="12.75">
      <c r="A260" s="4" t="s">
        <v>160</v>
      </c>
      <c r="B260" s="2">
        <v>65.8</v>
      </c>
      <c r="C260" s="2">
        <v>96.6</v>
      </c>
      <c r="D260" s="2">
        <v>75.4</v>
      </c>
      <c r="E260" s="2">
        <v>77.9</v>
      </c>
      <c r="F260" s="2">
        <v>70.5</v>
      </c>
      <c r="G260" s="2">
        <v>95.3</v>
      </c>
      <c r="H260" s="2">
        <v>131.2</v>
      </c>
      <c r="I260" s="2">
        <v>144</v>
      </c>
      <c r="J260" s="2">
        <v>224.4</v>
      </c>
      <c r="K260" s="2">
        <v>252.7</v>
      </c>
      <c r="L260" s="2">
        <v>272.8</v>
      </c>
      <c r="M260" s="2">
        <v>253</v>
      </c>
      <c r="N260" s="2">
        <v>300</v>
      </c>
      <c r="O260" s="2">
        <v>321</v>
      </c>
      <c r="P260" s="2">
        <v>583</v>
      </c>
      <c r="Q260" s="2">
        <v>1155</v>
      </c>
      <c r="R260" s="2">
        <v>1845</v>
      </c>
      <c r="S260" s="2">
        <v>1771</v>
      </c>
      <c r="T260" s="2">
        <v>1405</v>
      </c>
      <c r="U260" s="2">
        <v>1313</v>
      </c>
      <c r="V260" s="2">
        <v>1223</v>
      </c>
      <c r="W260" s="2">
        <v>1033</v>
      </c>
      <c r="X260" s="2">
        <v>1415</v>
      </c>
      <c r="Y260" s="2">
        <v>1557</v>
      </c>
      <c r="Z260" s="2">
        <v>1902</v>
      </c>
      <c r="AA260" s="2">
        <v>1105</v>
      </c>
      <c r="AB260" s="2">
        <v>1768</v>
      </c>
      <c r="AC260" s="2">
        <v>1031</v>
      </c>
      <c r="AD260" s="2">
        <v>820</v>
      </c>
      <c r="AE260" s="2">
        <v>794</v>
      </c>
      <c r="AF260" s="2">
        <v>1059</v>
      </c>
      <c r="AG260" s="2">
        <v>2927</v>
      </c>
      <c r="AH260" s="2">
        <v>4004</v>
      </c>
      <c r="AI260" s="2">
        <v>2481</v>
      </c>
      <c r="AJ260" s="2">
        <v>1667</v>
      </c>
      <c r="AK260" s="2">
        <v>686</v>
      </c>
      <c r="AL260" s="2">
        <v>820</v>
      </c>
      <c r="AM260" s="2">
        <v>2049</v>
      </c>
      <c r="AN260" s="2">
        <v>1290</v>
      </c>
      <c r="AO260" s="2">
        <v>1287</v>
      </c>
      <c r="AP260" s="2">
        <v>1173</v>
      </c>
    </row>
    <row r="261" spans="1:42" s="2" customFormat="1" ht="12.75">
      <c r="A261" s="4" t="s">
        <v>29</v>
      </c>
      <c r="B261" s="2">
        <f>6.1+5.4+2</f>
        <v>13.5</v>
      </c>
      <c r="C261" s="2">
        <f>5.7+4.9+2.7</f>
        <v>13.3</v>
      </c>
      <c r="D261" s="2">
        <f>5.9+5.5+3</f>
        <v>14.4</v>
      </c>
      <c r="E261" s="2">
        <f>5.6+5.9+3.3</f>
        <v>14.8</v>
      </c>
      <c r="F261" s="2">
        <f>6.1+4.5+3.2</f>
        <v>13.8</v>
      </c>
      <c r="G261" s="2">
        <f>7.1+4.9+4.5</f>
        <v>16.5</v>
      </c>
      <c r="H261" s="2">
        <f>8+5.3+4</f>
        <v>17.3</v>
      </c>
      <c r="I261" s="2">
        <f>10.6+6.6+7.9</f>
        <v>25.1</v>
      </c>
      <c r="J261" s="2">
        <f>14.2+14.9+10.6</f>
        <v>39.7</v>
      </c>
      <c r="K261" s="2">
        <f>13.4+16.4+13.6</f>
        <v>43.4</v>
      </c>
      <c r="L261" s="2">
        <f>13.8+22.6+16.3</f>
        <v>52.7</v>
      </c>
      <c r="M261" s="2">
        <v>171</v>
      </c>
      <c r="N261" s="2">
        <v>189</v>
      </c>
      <c r="O261" s="2">
        <v>210</v>
      </c>
      <c r="P261" s="2">
        <v>254</v>
      </c>
      <c r="Q261" s="2">
        <v>465</v>
      </c>
      <c r="R261" s="2">
        <v>808</v>
      </c>
      <c r="S261" s="2">
        <v>1338</v>
      </c>
      <c r="T261" s="2">
        <v>1549</v>
      </c>
      <c r="U261" s="2">
        <v>872</v>
      </c>
      <c r="V261" s="2">
        <v>848</v>
      </c>
      <c r="W261" s="2">
        <v>1061</v>
      </c>
      <c r="X261" s="2">
        <v>1167</v>
      </c>
      <c r="Y261" s="2">
        <v>911</v>
      </c>
      <c r="Z261" s="2">
        <v>1489</v>
      </c>
      <c r="AA261" s="2">
        <v>1120</v>
      </c>
      <c r="AB261" s="2">
        <v>713</v>
      </c>
      <c r="AC261" s="2">
        <v>542</v>
      </c>
      <c r="AD261" s="2">
        <v>603</v>
      </c>
      <c r="AE261" s="2">
        <v>348</v>
      </c>
      <c r="AF261" s="2">
        <v>641</v>
      </c>
      <c r="AG261" s="2">
        <v>1115</v>
      </c>
      <c r="AH261" s="2">
        <v>1519</v>
      </c>
      <c r="AI261" s="2">
        <v>1611</v>
      </c>
      <c r="AJ261" s="2">
        <v>835</v>
      </c>
      <c r="AK261" s="2">
        <v>359</v>
      </c>
      <c r="AL261" s="2">
        <v>844</v>
      </c>
      <c r="AM261" s="2">
        <v>645</v>
      </c>
      <c r="AN261" s="2">
        <v>551</v>
      </c>
      <c r="AO261" s="2">
        <v>491</v>
      </c>
      <c r="AP261" s="2">
        <v>343</v>
      </c>
    </row>
    <row r="262" s="2" customFormat="1" ht="12.75">
      <c r="A262" s="4"/>
    </row>
    <row r="263" spans="1:47" s="12" customFormat="1" ht="12.75">
      <c r="A263" s="16" t="s">
        <v>161</v>
      </c>
      <c r="B263" s="12">
        <f aca="true" t="shared" si="198" ref="B263:Q263">SUM(B264:B266)</f>
        <v>191.5</v>
      </c>
      <c r="C263" s="12">
        <f t="shared" si="198"/>
        <v>241.1</v>
      </c>
      <c r="D263" s="12">
        <f t="shared" si="198"/>
        <v>210</v>
      </c>
      <c r="E263" s="12">
        <f t="shared" si="198"/>
        <v>166</v>
      </c>
      <c r="F263" s="12">
        <f t="shared" si="198"/>
        <v>145.3</v>
      </c>
      <c r="G263" s="12">
        <f t="shared" si="198"/>
        <v>225</v>
      </c>
      <c r="H263" s="12">
        <f t="shared" si="198"/>
        <v>307.4</v>
      </c>
      <c r="I263" s="12">
        <f t="shared" si="198"/>
        <v>359</v>
      </c>
      <c r="J263" s="12">
        <f t="shared" si="198"/>
        <v>468.59999999999997</v>
      </c>
      <c r="K263" s="12">
        <f t="shared" si="198"/>
        <v>557.9</v>
      </c>
      <c r="L263" s="12">
        <f t="shared" si="198"/>
        <v>632.9</v>
      </c>
      <c r="M263" s="12">
        <f t="shared" si="198"/>
        <v>679</v>
      </c>
      <c r="N263" s="12">
        <f t="shared" si="198"/>
        <v>866</v>
      </c>
      <c r="O263" s="12">
        <f t="shared" si="198"/>
        <v>1100</v>
      </c>
      <c r="P263" s="12">
        <f t="shared" si="198"/>
        <v>1403</v>
      </c>
      <c r="Q263" s="12">
        <f t="shared" si="198"/>
        <v>2109</v>
      </c>
      <c r="R263" s="12">
        <f aca="true" t="shared" si="199" ref="R263:AG263">SUM(R264:R266)</f>
        <v>4973</v>
      </c>
      <c r="S263" s="12">
        <f t="shared" si="199"/>
        <v>5526</v>
      </c>
      <c r="T263" s="12">
        <f t="shared" si="199"/>
        <v>6310</v>
      </c>
      <c r="U263" s="12">
        <f t="shared" si="199"/>
        <v>4534</v>
      </c>
      <c r="V263" s="12">
        <f t="shared" si="199"/>
        <v>2989</v>
      </c>
      <c r="W263" s="12">
        <f t="shared" si="199"/>
        <v>3055</v>
      </c>
      <c r="X263" s="12">
        <f t="shared" si="199"/>
        <v>3527</v>
      </c>
      <c r="Y263" s="12">
        <f t="shared" si="199"/>
        <v>3331</v>
      </c>
      <c r="Z263" s="12">
        <f t="shared" si="199"/>
        <v>6317</v>
      </c>
      <c r="AA263" s="12">
        <f t="shared" si="199"/>
        <v>5452</v>
      </c>
      <c r="AB263" s="12">
        <f t="shared" si="199"/>
        <v>3896</v>
      </c>
      <c r="AC263" s="12">
        <f t="shared" si="199"/>
        <v>3315</v>
      </c>
      <c r="AD263" s="12">
        <f t="shared" si="199"/>
        <v>3066</v>
      </c>
      <c r="AE263" s="12">
        <f t="shared" si="199"/>
        <v>2804</v>
      </c>
      <c r="AF263" s="12">
        <f t="shared" si="199"/>
        <v>3842</v>
      </c>
      <c r="AG263" s="12">
        <f t="shared" si="199"/>
        <v>6264</v>
      </c>
      <c r="AH263" s="12">
        <f aca="true" t="shared" si="200" ref="AH263:AS263">SUM(AH264:AH266)</f>
        <v>14924</v>
      </c>
      <c r="AI263" s="12">
        <f t="shared" si="200"/>
        <v>16498</v>
      </c>
      <c r="AJ263" s="12">
        <f t="shared" si="200"/>
        <v>10036</v>
      </c>
      <c r="AK263" s="12">
        <f t="shared" si="200"/>
        <v>5525</v>
      </c>
      <c r="AL263" s="12">
        <f t="shared" si="200"/>
        <v>3656</v>
      </c>
      <c r="AM263" s="12">
        <f t="shared" si="200"/>
        <v>4205</v>
      </c>
      <c r="AN263" s="12">
        <f t="shared" si="200"/>
        <v>5045</v>
      </c>
      <c r="AO263" s="12">
        <f t="shared" si="200"/>
        <v>6348</v>
      </c>
      <c r="AP263" s="12">
        <f t="shared" si="200"/>
        <v>4785</v>
      </c>
      <c r="AQ263" s="12">
        <f t="shared" si="200"/>
        <v>0</v>
      </c>
      <c r="AR263" s="12">
        <f t="shared" si="200"/>
        <v>0</v>
      </c>
      <c r="AS263" s="12">
        <f t="shared" si="200"/>
        <v>0</v>
      </c>
      <c r="AT263" s="12">
        <f>SUM(AT264:AT266)</f>
        <v>0</v>
      </c>
      <c r="AU263" s="12">
        <f>SUM(AU264:AU266)</f>
        <v>0</v>
      </c>
    </row>
    <row r="264" spans="1:42" s="2" customFormat="1" ht="12.75">
      <c r="A264" s="4" t="s">
        <v>162</v>
      </c>
      <c r="B264" s="2">
        <v>85.8</v>
      </c>
      <c r="C264" s="2">
        <v>129.7</v>
      </c>
      <c r="D264" s="2">
        <v>124.3</v>
      </c>
      <c r="E264" s="2">
        <v>98.7</v>
      </c>
      <c r="F264" s="2">
        <v>79.8</v>
      </c>
      <c r="G264" s="2">
        <v>118.8</v>
      </c>
      <c r="H264" s="2">
        <v>184.5</v>
      </c>
      <c r="I264" s="2">
        <v>218.3</v>
      </c>
      <c r="J264" s="2">
        <v>286</v>
      </c>
      <c r="K264" s="2">
        <v>328.4</v>
      </c>
      <c r="L264" s="2">
        <v>358.2</v>
      </c>
      <c r="M264" s="2">
        <v>364</v>
      </c>
      <c r="N264" s="2">
        <v>439</v>
      </c>
      <c r="O264" s="2">
        <v>603</v>
      </c>
      <c r="P264" s="2">
        <v>804</v>
      </c>
      <c r="Q264" s="2">
        <v>1137</v>
      </c>
      <c r="R264" s="2">
        <v>2539</v>
      </c>
      <c r="S264" s="2">
        <v>3219</v>
      </c>
      <c r="T264" s="2">
        <v>3592</v>
      </c>
      <c r="U264" s="2">
        <v>2693</v>
      </c>
      <c r="V264" s="2">
        <v>1599</v>
      </c>
      <c r="W264" s="2">
        <v>1403</v>
      </c>
      <c r="X264" s="2">
        <v>1854</v>
      </c>
      <c r="Y264" s="2">
        <v>1732</v>
      </c>
      <c r="Z264" s="2">
        <v>3042</v>
      </c>
      <c r="AA264" s="2">
        <v>2828</v>
      </c>
      <c r="AB264" s="2">
        <v>1873</v>
      </c>
      <c r="AC264" s="2">
        <v>1798</v>
      </c>
      <c r="AD264" s="2">
        <v>1717</v>
      </c>
      <c r="AE264" s="2">
        <v>1706</v>
      </c>
      <c r="AF264" s="2">
        <v>2051</v>
      </c>
      <c r="AG264" s="2">
        <v>3886</v>
      </c>
      <c r="AH264" s="2">
        <v>8576</v>
      </c>
      <c r="AI264" s="2">
        <v>10193</v>
      </c>
      <c r="AJ264" s="2">
        <v>6957</v>
      </c>
      <c r="AK264" s="2">
        <v>4054</v>
      </c>
      <c r="AL264" s="2">
        <v>2285</v>
      </c>
      <c r="AM264" s="2">
        <v>2325</v>
      </c>
      <c r="AN264" s="2">
        <v>2672</v>
      </c>
      <c r="AO264" s="2">
        <v>3501</v>
      </c>
      <c r="AP264" s="2">
        <v>3021</v>
      </c>
    </row>
    <row r="265" spans="1:42" s="2" customFormat="1" ht="12.75">
      <c r="A265" s="4" t="s">
        <v>163</v>
      </c>
      <c r="B265" s="2">
        <v>43.7</v>
      </c>
      <c r="C265" s="2">
        <v>47</v>
      </c>
      <c r="D265" s="2">
        <v>41.4</v>
      </c>
      <c r="E265" s="2">
        <v>39.3</v>
      </c>
      <c r="F265" s="2">
        <v>30.6</v>
      </c>
      <c r="G265" s="2">
        <v>39.8</v>
      </c>
      <c r="H265" s="2">
        <v>53.7</v>
      </c>
      <c r="I265" s="2">
        <v>66</v>
      </c>
      <c r="J265" s="2">
        <v>82.9</v>
      </c>
      <c r="K265" s="2">
        <v>109.9</v>
      </c>
      <c r="L265" s="2">
        <v>151.8</v>
      </c>
      <c r="M265" s="2">
        <v>167</v>
      </c>
      <c r="N265" s="2">
        <v>256</v>
      </c>
      <c r="O265" s="2">
        <v>263</v>
      </c>
      <c r="P265" s="2">
        <v>311</v>
      </c>
      <c r="Q265" s="2">
        <v>409</v>
      </c>
      <c r="R265" s="2">
        <v>801</v>
      </c>
      <c r="S265" s="2">
        <v>981</v>
      </c>
      <c r="T265" s="2">
        <v>1247</v>
      </c>
      <c r="U265" s="2">
        <v>876</v>
      </c>
      <c r="V265" s="2">
        <v>779</v>
      </c>
      <c r="W265" s="2">
        <v>987</v>
      </c>
      <c r="X265" s="2">
        <v>893</v>
      </c>
      <c r="Y265" s="2">
        <v>693</v>
      </c>
      <c r="Z265" s="2">
        <v>1346</v>
      </c>
      <c r="AA265" s="2">
        <v>1089</v>
      </c>
      <c r="AB265" s="2">
        <v>834</v>
      </c>
      <c r="AC265" s="2">
        <v>792</v>
      </c>
      <c r="AD265" s="2">
        <v>787</v>
      </c>
      <c r="AE265" s="2">
        <v>540</v>
      </c>
      <c r="AF265" s="2">
        <v>715</v>
      </c>
      <c r="AG265" s="2">
        <v>1344</v>
      </c>
      <c r="AH265" s="2">
        <v>2516</v>
      </c>
      <c r="AI265" s="2">
        <v>2913</v>
      </c>
      <c r="AJ265" s="2">
        <v>1780</v>
      </c>
      <c r="AK265" s="2">
        <v>834</v>
      </c>
      <c r="AL265" s="2">
        <v>892</v>
      </c>
      <c r="AM265" s="2">
        <v>1184</v>
      </c>
      <c r="AN265" s="2">
        <v>1444</v>
      </c>
      <c r="AO265" s="2">
        <v>1521</v>
      </c>
      <c r="AP265" s="2">
        <v>961</v>
      </c>
    </row>
    <row r="266" spans="1:42" s="2" customFormat="1" ht="12.75">
      <c r="A266" s="4" t="s">
        <v>164</v>
      </c>
      <c r="B266" s="2">
        <v>62</v>
      </c>
      <c r="C266" s="2">
        <v>64.4</v>
      </c>
      <c r="D266" s="2">
        <v>44.3</v>
      </c>
      <c r="E266" s="2">
        <v>28</v>
      </c>
      <c r="F266" s="2">
        <v>34.9</v>
      </c>
      <c r="G266" s="2">
        <v>66.4</v>
      </c>
      <c r="H266" s="2">
        <v>69.2</v>
      </c>
      <c r="I266" s="2">
        <v>74.7</v>
      </c>
      <c r="J266" s="2">
        <v>99.7</v>
      </c>
      <c r="K266" s="2">
        <v>119.6</v>
      </c>
      <c r="L266" s="2">
        <v>122.9</v>
      </c>
      <c r="M266" s="2">
        <v>148</v>
      </c>
      <c r="N266" s="2">
        <v>171</v>
      </c>
      <c r="O266" s="2">
        <v>234</v>
      </c>
      <c r="P266" s="2">
        <v>288</v>
      </c>
      <c r="Q266" s="2">
        <v>563</v>
      </c>
      <c r="R266" s="2">
        <v>1633</v>
      </c>
      <c r="S266" s="2">
        <v>1326</v>
      </c>
      <c r="T266" s="2">
        <v>1471</v>
      </c>
      <c r="U266" s="2">
        <v>965</v>
      </c>
      <c r="V266" s="2">
        <v>611</v>
      </c>
      <c r="W266" s="2">
        <v>665</v>
      </c>
      <c r="X266" s="2">
        <v>780</v>
      </c>
      <c r="Y266" s="2">
        <v>906</v>
      </c>
      <c r="Z266" s="2">
        <v>1929</v>
      </c>
      <c r="AA266" s="2">
        <v>1535</v>
      </c>
      <c r="AB266" s="2">
        <v>1189</v>
      </c>
      <c r="AC266" s="2">
        <v>725</v>
      </c>
      <c r="AD266" s="2">
        <v>562</v>
      </c>
      <c r="AE266" s="2">
        <v>558</v>
      </c>
      <c r="AF266" s="2">
        <v>1076</v>
      </c>
      <c r="AG266" s="2">
        <v>1034</v>
      </c>
      <c r="AH266" s="2">
        <v>3832</v>
      </c>
      <c r="AI266" s="2">
        <v>3392</v>
      </c>
      <c r="AJ266" s="2">
        <v>1299</v>
      </c>
      <c r="AK266" s="2">
        <v>637</v>
      </c>
      <c r="AL266" s="2">
        <v>479</v>
      </c>
      <c r="AM266" s="2">
        <v>696</v>
      </c>
      <c r="AN266" s="2">
        <v>929</v>
      </c>
      <c r="AO266" s="2">
        <v>1326</v>
      </c>
      <c r="AP266" s="2">
        <v>803</v>
      </c>
    </row>
    <row r="267" s="2" customFormat="1" ht="12.75">
      <c r="A267" s="4"/>
    </row>
    <row r="268" spans="1:47" s="12" customFormat="1" ht="12.75">
      <c r="A268" s="16" t="s">
        <v>165</v>
      </c>
      <c r="B268" s="12">
        <f>SUM(B269:B271)</f>
        <v>9.6</v>
      </c>
      <c r="C268" s="12">
        <f aca="true" t="shared" si="201" ref="C268:R268">SUM(C269:C271)</f>
        <v>28.8</v>
      </c>
      <c r="D268" s="12">
        <f t="shared" si="201"/>
        <v>14.7</v>
      </c>
      <c r="E268" s="12">
        <f t="shared" si="201"/>
        <v>2.2</v>
      </c>
      <c r="F268" s="12">
        <f t="shared" si="201"/>
        <v>4.5</v>
      </c>
      <c r="G268" s="12">
        <f t="shared" si="201"/>
        <v>5.5</v>
      </c>
      <c r="H268" s="12">
        <f t="shared" si="201"/>
        <v>2</v>
      </c>
      <c r="I268" s="12">
        <f t="shared" si="201"/>
        <v>5.699999999999999</v>
      </c>
      <c r="J268" s="12">
        <f t="shared" si="201"/>
        <v>8</v>
      </c>
      <c r="K268" s="12">
        <f t="shared" si="201"/>
        <v>5.300000000000001</v>
      </c>
      <c r="L268" s="12">
        <f t="shared" si="201"/>
        <v>5</v>
      </c>
      <c r="M268" s="12">
        <f t="shared" si="201"/>
        <v>55</v>
      </c>
      <c r="N268" s="12">
        <f t="shared" si="201"/>
        <v>63</v>
      </c>
      <c r="O268" s="12">
        <f t="shared" si="201"/>
        <v>75</v>
      </c>
      <c r="P268" s="12">
        <f t="shared" si="201"/>
        <v>128</v>
      </c>
      <c r="Q268" s="12">
        <f t="shared" si="201"/>
        <v>195</v>
      </c>
      <c r="R268" s="12">
        <f t="shared" si="201"/>
        <v>286</v>
      </c>
      <c r="S268" s="12">
        <f aca="true" t="shared" si="202" ref="S268:AH268">SUM(S269:S271)</f>
        <v>345</v>
      </c>
      <c r="T268" s="12">
        <f t="shared" si="202"/>
        <v>520</v>
      </c>
      <c r="U268" s="12">
        <f>SUM(U269:U271)</f>
        <v>358</v>
      </c>
      <c r="V268" s="12">
        <f t="shared" si="202"/>
        <v>489</v>
      </c>
      <c r="W268" s="12">
        <f t="shared" si="202"/>
        <v>484</v>
      </c>
      <c r="X268" s="12">
        <f t="shared" si="202"/>
        <v>393</v>
      </c>
      <c r="Y268" s="12">
        <f>Y269+Y270+Y271</f>
        <v>284</v>
      </c>
      <c r="Z268" s="12">
        <f t="shared" si="202"/>
        <v>530</v>
      </c>
      <c r="AA268" s="12">
        <f>SUM(AA269:AA271)</f>
        <v>358</v>
      </c>
      <c r="AB268" s="12">
        <f t="shared" si="202"/>
        <v>293</v>
      </c>
      <c r="AC268" s="12">
        <f t="shared" si="202"/>
        <v>392</v>
      </c>
      <c r="AD268" s="12">
        <f t="shared" si="202"/>
        <v>307</v>
      </c>
      <c r="AE268" s="12">
        <f t="shared" si="202"/>
        <v>271</v>
      </c>
      <c r="AF268" s="12">
        <f t="shared" si="202"/>
        <v>381</v>
      </c>
      <c r="AG268" s="12">
        <f t="shared" si="202"/>
        <v>683</v>
      </c>
      <c r="AH268" s="12">
        <f t="shared" si="202"/>
        <v>925</v>
      </c>
      <c r="AI268" s="12">
        <f aca="true" t="shared" si="203" ref="AI268:AQ268">SUM(AI269:AI271)</f>
        <v>1317</v>
      </c>
      <c r="AJ268" s="12">
        <f t="shared" si="203"/>
        <v>760</v>
      </c>
      <c r="AK268" s="12">
        <f t="shared" si="203"/>
        <v>403</v>
      </c>
      <c r="AL268" s="12">
        <f t="shared" si="203"/>
        <v>306</v>
      </c>
      <c r="AM268" s="12">
        <f t="shared" si="203"/>
        <v>353</v>
      </c>
      <c r="AN268" s="12">
        <f t="shared" si="203"/>
        <v>384</v>
      </c>
      <c r="AO268" s="12">
        <f t="shared" si="203"/>
        <v>538</v>
      </c>
      <c r="AP268" s="12">
        <f t="shared" si="203"/>
        <v>305</v>
      </c>
      <c r="AQ268" s="12">
        <f t="shared" si="203"/>
        <v>0</v>
      </c>
      <c r="AR268" s="12">
        <f>SUM(AR269:AR271)</f>
        <v>0</v>
      </c>
      <c r="AS268" s="12">
        <f>SUM(AS269:AS271)</f>
        <v>0</v>
      </c>
      <c r="AT268" s="12">
        <f>SUM(AT269:AT271)</f>
        <v>0</v>
      </c>
      <c r="AU268" s="12">
        <f>SUM(AU269:AU271)</f>
        <v>0</v>
      </c>
    </row>
    <row r="269" spans="1:42" s="2" customFormat="1" ht="12.75">
      <c r="A269" s="4" t="s">
        <v>166</v>
      </c>
      <c r="B269" s="2">
        <v>0.5</v>
      </c>
      <c r="C269" s="2">
        <v>12.5</v>
      </c>
      <c r="D269" s="2">
        <v>2.6</v>
      </c>
      <c r="E269" s="2">
        <v>2.2</v>
      </c>
      <c r="F269" s="2">
        <v>4.4</v>
      </c>
      <c r="G269" s="2">
        <v>3.4</v>
      </c>
      <c r="H269" s="2">
        <v>1.9</v>
      </c>
      <c r="I269" s="2">
        <v>4.3</v>
      </c>
      <c r="J269" s="2">
        <v>3.1</v>
      </c>
      <c r="K269" s="2">
        <v>3.1</v>
      </c>
      <c r="L269" s="2">
        <v>3.7</v>
      </c>
      <c r="M269" s="2">
        <v>34</v>
      </c>
      <c r="N269" s="2">
        <v>42</v>
      </c>
      <c r="O269" s="2">
        <v>53</v>
      </c>
      <c r="P269" s="2">
        <v>73</v>
      </c>
      <c r="Q269" s="2">
        <v>117</v>
      </c>
      <c r="R269" s="2">
        <v>168</v>
      </c>
      <c r="S269" s="2">
        <v>171</v>
      </c>
      <c r="T269" s="2">
        <v>269</v>
      </c>
      <c r="U269" s="2">
        <v>237</v>
      </c>
      <c r="V269" s="2">
        <v>294</v>
      </c>
      <c r="W269" s="2">
        <v>321</v>
      </c>
      <c r="X269" s="2">
        <v>236</v>
      </c>
      <c r="Y269" s="2">
        <v>202</v>
      </c>
      <c r="Z269" s="2">
        <v>365</v>
      </c>
      <c r="AA269" s="2">
        <v>251</v>
      </c>
      <c r="AB269" s="2">
        <v>206</v>
      </c>
      <c r="AC269" s="2">
        <v>250</v>
      </c>
      <c r="AD269" s="2">
        <v>221</v>
      </c>
      <c r="AE269" s="2">
        <v>214</v>
      </c>
      <c r="AF269" s="2">
        <v>267</v>
      </c>
      <c r="AG269" s="2">
        <v>498</v>
      </c>
      <c r="AH269" s="2">
        <v>685</v>
      </c>
      <c r="AI269" s="2">
        <v>883</v>
      </c>
      <c r="AJ269" s="2">
        <v>564</v>
      </c>
      <c r="AK269" s="2">
        <v>316</v>
      </c>
      <c r="AL269" s="2">
        <v>222</v>
      </c>
      <c r="AM269" s="2">
        <v>217</v>
      </c>
      <c r="AN269" s="2">
        <v>271</v>
      </c>
      <c r="AO269" s="2">
        <v>380</v>
      </c>
      <c r="AP269" s="2">
        <v>237</v>
      </c>
    </row>
    <row r="270" spans="1:42" s="2" customFormat="1" ht="12.75">
      <c r="A270" s="4" t="s">
        <v>167</v>
      </c>
      <c r="M270" s="2">
        <v>19</v>
      </c>
      <c r="N270" s="2">
        <v>20</v>
      </c>
      <c r="O270" s="2">
        <v>21</v>
      </c>
      <c r="P270" s="2">
        <v>50</v>
      </c>
      <c r="Q270" s="2">
        <v>52</v>
      </c>
      <c r="R270" s="2">
        <v>72</v>
      </c>
      <c r="S270" s="2">
        <v>112</v>
      </c>
      <c r="T270" s="2">
        <v>130</v>
      </c>
      <c r="U270" s="2">
        <v>68</v>
      </c>
      <c r="V270" s="2">
        <v>115</v>
      </c>
      <c r="W270" s="2">
        <v>135</v>
      </c>
      <c r="X270" s="2">
        <v>118</v>
      </c>
      <c r="Y270" s="2">
        <v>58</v>
      </c>
      <c r="Z270" s="2">
        <v>119</v>
      </c>
      <c r="AA270" s="2">
        <v>71</v>
      </c>
      <c r="AB270" s="2">
        <v>69</v>
      </c>
      <c r="AC270" s="2">
        <v>106</v>
      </c>
      <c r="AD270" s="2">
        <v>68</v>
      </c>
      <c r="AE270" s="2">
        <v>50</v>
      </c>
      <c r="AF270" s="2">
        <v>95</v>
      </c>
      <c r="AG270" s="2">
        <v>155</v>
      </c>
      <c r="AH270" s="2">
        <v>211</v>
      </c>
      <c r="AI270" s="2">
        <v>387</v>
      </c>
      <c r="AJ270" s="2">
        <v>168</v>
      </c>
      <c r="AK270" s="2">
        <v>79</v>
      </c>
      <c r="AL270" s="2">
        <v>75</v>
      </c>
      <c r="AM270" s="2">
        <v>130</v>
      </c>
      <c r="AN270" s="2">
        <v>108</v>
      </c>
      <c r="AO270" s="2">
        <v>155</v>
      </c>
      <c r="AP270" s="2">
        <v>67</v>
      </c>
    </row>
    <row r="271" spans="1:42" s="2" customFormat="1" ht="12.75">
      <c r="A271" s="4" t="s">
        <v>168</v>
      </c>
      <c r="B271" s="2">
        <v>9.1</v>
      </c>
      <c r="C271" s="2">
        <v>16.3</v>
      </c>
      <c r="D271" s="2">
        <v>12.1</v>
      </c>
      <c r="E271" s="2">
        <v>0</v>
      </c>
      <c r="F271" s="2">
        <v>0.1</v>
      </c>
      <c r="G271" s="2">
        <v>2.1</v>
      </c>
      <c r="H271" s="2">
        <v>0.1</v>
      </c>
      <c r="I271" s="2">
        <v>1.4</v>
      </c>
      <c r="J271" s="2">
        <v>4.9</v>
      </c>
      <c r="K271" s="2">
        <v>2.2</v>
      </c>
      <c r="L271" s="2">
        <v>1.3</v>
      </c>
      <c r="M271" s="2">
        <v>2</v>
      </c>
      <c r="N271" s="2">
        <v>1</v>
      </c>
      <c r="O271" s="2">
        <v>1</v>
      </c>
      <c r="P271" s="2">
        <v>5</v>
      </c>
      <c r="Q271" s="2">
        <v>26</v>
      </c>
      <c r="R271" s="2">
        <v>46</v>
      </c>
      <c r="S271" s="2">
        <v>62</v>
      </c>
      <c r="T271" s="2">
        <v>121</v>
      </c>
      <c r="U271" s="2">
        <v>53</v>
      </c>
      <c r="V271" s="2">
        <v>80</v>
      </c>
      <c r="W271" s="2">
        <v>28</v>
      </c>
      <c r="X271" s="2">
        <v>39</v>
      </c>
      <c r="Y271" s="2">
        <v>24</v>
      </c>
      <c r="Z271" s="2">
        <v>46</v>
      </c>
      <c r="AA271" s="2">
        <v>36</v>
      </c>
      <c r="AB271" s="2">
        <v>18</v>
      </c>
      <c r="AC271" s="2">
        <v>36</v>
      </c>
      <c r="AD271" s="2">
        <v>18</v>
      </c>
      <c r="AE271" s="2">
        <v>7</v>
      </c>
      <c r="AF271" s="2">
        <v>19</v>
      </c>
      <c r="AG271" s="2">
        <v>30</v>
      </c>
      <c r="AH271" s="2">
        <v>29</v>
      </c>
      <c r="AI271" s="2">
        <v>47</v>
      </c>
      <c r="AJ271" s="2">
        <v>28</v>
      </c>
      <c r="AK271" s="2">
        <v>8</v>
      </c>
      <c r="AL271" s="2">
        <v>9</v>
      </c>
      <c r="AM271" s="2">
        <v>6</v>
      </c>
      <c r="AN271" s="2">
        <v>5</v>
      </c>
      <c r="AO271" s="2">
        <v>3</v>
      </c>
      <c r="AP271" s="2">
        <v>1</v>
      </c>
    </row>
    <row r="272" s="2" customFormat="1" ht="12.75">
      <c r="A272" s="4" t="s">
        <v>169</v>
      </c>
    </row>
    <row r="273" spans="1:42" s="12" customFormat="1" ht="12.75">
      <c r="A273" s="16" t="s">
        <v>170</v>
      </c>
      <c r="B273" s="12">
        <v>0</v>
      </c>
      <c r="C273" s="12">
        <v>0</v>
      </c>
      <c r="D273" s="12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1</v>
      </c>
      <c r="N273" s="12">
        <v>1</v>
      </c>
      <c r="O273" s="12">
        <v>1</v>
      </c>
      <c r="P273" s="12">
        <v>2</v>
      </c>
      <c r="Q273" s="12">
        <v>1</v>
      </c>
      <c r="R273" s="12">
        <v>2</v>
      </c>
      <c r="S273" s="12">
        <v>1</v>
      </c>
      <c r="T273" s="12">
        <v>158</v>
      </c>
      <c r="U273" s="12">
        <v>68</v>
      </c>
      <c r="V273" s="12">
        <v>59</v>
      </c>
      <c r="W273" s="12">
        <v>0</v>
      </c>
      <c r="X273" s="12">
        <v>5</v>
      </c>
      <c r="Y273" s="12">
        <v>13</v>
      </c>
      <c r="Z273" s="12">
        <v>43</v>
      </c>
      <c r="AA273" s="12">
        <v>21</v>
      </c>
      <c r="AB273" s="12">
        <v>192</v>
      </c>
      <c r="AC273" s="12">
        <v>6</v>
      </c>
      <c r="AD273" s="12">
        <v>2</v>
      </c>
      <c r="AE273" s="12">
        <v>34</v>
      </c>
      <c r="AF273" s="12">
        <v>57</v>
      </c>
      <c r="AG273" s="12">
        <v>63</v>
      </c>
      <c r="AH273" s="12">
        <v>105</v>
      </c>
      <c r="AI273" s="12">
        <v>24</v>
      </c>
      <c r="AJ273" s="12">
        <v>283</v>
      </c>
      <c r="AK273" s="12">
        <v>67</v>
      </c>
      <c r="AL273" s="12">
        <v>301</v>
      </c>
      <c r="AM273" s="12">
        <v>583</v>
      </c>
      <c r="AN273" s="12">
        <v>295</v>
      </c>
      <c r="AO273" s="12">
        <v>115</v>
      </c>
      <c r="AP273" s="12">
        <v>148</v>
      </c>
    </row>
    <row r="274" spans="1:47" s="12" customFormat="1" ht="12.75">
      <c r="A274" s="50" t="s">
        <v>171</v>
      </c>
      <c r="B274" s="12">
        <v>66.1</v>
      </c>
      <c r="C274" s="12">
        <v>52.2</v>
      </c>
      <c r="D274" s="12">
        <v>48.6</v>
      </c>
      <c r="E274" s="12">
        <v>46.9</v>
      </c>
      <c r="F274" s="12">
        <v>53.1</v>
      </c>
      <c r="G274" s="12">
        <v>54.6</v>
      </c>
      <c r="H274" s="12">
        <v>74.8</v>
      </c>
      <c r="I274" s="12">
        <v>73</v>
      </c>
      <c r="J274" s="12">
        <v>82.6</v>
      </c>
      <c r="K274" s="12">
        <v>107.6</v>
      </c>
      <c r="L274" s="12">
        <v>119.4</v>
      </c>
      <c r="M274" s="12" t="s">
        <v>92</v>
      </c>
      <c r="N274" s="12" t="s">
        <v>92</v>
      </c>
      <c r="O274" s="12" t="s">
        <v>92</v>
      </c>
      <c r="P274" s="12" t="s">
        <v>92</v>
      </c>
      <c r="Q274" s="12" t="s">
        <v>92</v>
      </c>
      <c r="R274" s="12" t="s">
        <v>92</v>
      </c>
      <c r="S274" s="12" t="s">
        <v>92</v>
      </c>
      <c r="T274" s="12" t="s">
        <v>92</v>
      </c>
      <c r="U274" s="12" t="s">
        <v>92</v>
      </c>
      <c r="V274" s="12" t="s">
        <v>92</v>
      </c>
      <c r="W274" s="12" t="s">
        <v>92</v>
      </c>
      <c r="X274" s="12" t="s">
        <v>92</v>
      </c>
      <c r="Y274" s="12" t="s">
        <v>92</v>
      </c>
      <c r="Z274" s="12" t="s">
        <v>92</v>
      </c>
      <c r="AA274" s="12" t="s">
        <v>92</v>
      </c>
      <c r="AB274" s="12" t="s">
        <v>92</v>
      </c>
      <c r="AC274" s="12" t="s">
        <v>92</v>
      </c>
      <c r="AD274" s="12" t="s">
        <v>92</v>
      </c>
      <c r="AE274" s="12" t="s">
        <v>92</v>
      </c>
      <c r="AF274" s="12" t="s">
        <v>92</v>
      </c>
      <c r="AG274" s="12" t="s">
        <v>92</v>
      </c>
      <c r="AH274" s="12" t="s">
        <v>92</v>
      </c>
      <c r="AI274" s="12" t="s">
        <v>92</v>
      </c>
      <c r="AJ274" s="12" t="s">
        <v>92</v>
      </c>
      <c r="AK274" s="12" t="s">
        <v>92</v>
      </c>
      <c r="AL274" s="12" t="s">
        <v>92</v>
      </c>
      <c r="AM274" s="12" t="s">
        <v>92</v>
      </c>
      <c r="AN274" s="12" t="s">
        <v>92</v>
      </c>
      <c r="AO274" s="12" t="s">
        <v>92</v>
      </c>
      <c r="AP274" s="12" t="s">
        <v>92</v>
      </c>
      <c r="AQ274" s="12" t="s">
        <v>92</v>
      </c>
      <c r="AR274" s="12" t="s">
        <v>92</v>
      </c>
      <c r="AS274" s="12" t="s">
        <v>92</v>
      </c>
      <c r="AT274" s="12" t="s">
        <v>92</v>
      </c>
      <c r="AU274" s="12" t="s">
        <v>92</v>
      </c>
    </row>
    <row r="275" s="2" customFormat="1" ht="12.75">
      <c r="A275" s="4"/>
    </row>
    <row r="276" spans="1:47" s="7" customFormat="1" ht="15">
      <c r="A276" s="54" t="s">
        <v>172</v>
      </c>
      <c r="B276" s="7">
        <f>B226+B234+B236+B242+B244+B248+B256+B263+B268+B273+B274</f>
        <v>544.2</v>
      </c>
      <c r="C276" s="7">
        <f aca="true" t="shared" si="204" ref="C276:L276">C226+C234+C236+C242+C244+C248+C256+C263+C268+C273+C274</f>
        <v>688.3</v>
      </c>
      <c r="D276" s="7">
        <f t="shared" si="204"/>
        <v>616.6</v>
      </c>
      <c r="E276" s="7">
        <f t="shared" si="204"/>
        <v>547.6</v>
      </c>
      <c r="F276" s="7">
        <f t="shared" si="204"/>
        <v>513.5</v>
      </c>
      <c r="G276" s="7">
        <f t="shared" si="204"/>
        <v>742.3000000000001</v>
      </c>
      <c r="H276" s="7">
        <f t="shared" si="204"/>
        <v>898.4999999999999</v>
      </c>
      <c r="I276" s="7">
        <f t="shared" si="204"/>
        <v>963.7</v>
      </c>
      <c r="J276" s="7">
        <f t="shared" si="204"/>
        <v>1190.2999999999997</v>
      </c>
      <c r="K276" s="7">
        <f t="shared" si="204"/>
        <v>1389.1999999999996</v>
      </c>
      <c r="L276" s="7">
        <f t="shared" si="204"/>
        <v>1542.7000000000003</v>
      </c>
      <c r="M276" s="7">
        <f>M226+M234+M236+M242+M244+M248+M256+M263+M268+M273</f>
        <v>1677</v>
      </c>
      <c r="N276" s="7">
        <f>N226+N234+N236+N242+N244+N248+N256+N263+N268+N273</f>
        <v>2061</v>
      </c>
      <c r="O276" s="7">
        <f aca="true" t="shared" si="205" ref="O276:AD276">O226+O234+O236+O242+O244+O248+O256+O263+O268+O273</f>
        <v>2570</v>
      </c>
      <c r="P276" s="7">
        <f t="shared" si="205"/>
        <v>3737</v>
      </c>
      <c r="Q276" s="7">
        <f t="shared" si="205"/>
        <v>6614</v>
      </c>
      <c r="R276" s="7">
        <f t="shared" si="205"/>
        <v>11696</v>
      </c>
      <c r="S276" s="7">
        <f t="shared" si="205"/>
        <v>12766</v>
      </c>
      <c r="T276" s="7">
        <f t="shared" si="205"/>
        <v>14626</v>
      </c>
      <c r="U276" s="7">
        <f t="shared" si="205"/>
        <v>10372</v>
      </c>
      <c r="V276" s="7">
        <f t="shared" si="205"/>
        <v>9695</v>
      </c>
      <c r="W276" s="7">
        <f t="shared" si="205"/>
        <v>10844</v>
      </c>
      <c r="X276" s="7">
        <f t="shared" si="205"/>
        <v>13515</v>
      </c>
      <c r="Y276" s="7">
        <f t="shared" si="205"/>
        <v>11845</v>
      </c>
      <c r="Z276" s="7">
        <f t="shared" si="205"/>
        <v>18103</v>
      </c>
      <c r="AA276" s="7">
        <f t="shared" si="205"/>
        <v>14494</v>
      </c>
      <c r="AB276" s="7">
        <f t="shared" si="205"/>
        <v>11408</v>
      </c>
      <c r="AC276" s="7">
        <f t="shared" si="205"/>
        <v>9355</v>
      </c>
      <c r="AD276" s="7">
        <f t="shared" si="205"/>
        <v>9369</v>
      </c>
      <c r="AE276" s="7">
        <f aca="true" t="shared" si="206" ref="AE276:AQ276">AE226+AE234+AE236+AE242+AE244+AE248+AE256+AE263+AE268+AE273</f>
        <v>8177</v>
      </c>
      <c r="AF276" s="7">
        <f t="shared" si="206"/>
        <v>12807</v>
      </c>
      <c r="AG276" s="7">
        <f t="shared" si="206"/>
        <v>18722</v>
      </c>
      <c r="AH276" s="7">
        <f t="shared" si="206"/>
        <v>29677</v>
      </c>
      <c r="AI276" s="7">
        <f t="shared" si="206"/>
        <v>29870</v>
      </c>
      <c r="AJ276" s="7">
        <f t="shared" si="206"/>
        <v>20037</v>
      </c>
      <c r="AK276" s="7">
        <f t="shared" si="206"/>
        <v>11795</v>
      </c>
      <c r="AL276" s="7">
        <f t="shared" si="206"/>
        <v>12313</v>
      </c>
      <c r="AM276" s="7">
        <f t="shared" si="206"/>
        <v>15117</v>
      </c>
      <c r="AN276" s="7">
        <f t="shared" si="206"/>
        <v>14196</v>
      </c>
      <c r="AO276" s="7">
        <f t="shared" si="206"/>
        <v>14323</v>
      </c>
      <c r="AP276" s="7">
        <f t="shared" si="206"/>
        <v>12633</v>
      </c>
      <c r="AQ276" s="7">
        <f t="shared" si="206"/>
        <v>0</v>
      </c>
      <c r="AR276" s="7">
        <f>AR226+AR234+AR236+AR242+AR244+AR248+AR256+AR263+AR268+AR273</f>
        <v>0</v>
      </c>
      <c r="AS276" s="7">
        <f>AS226+AS234+AS236+AS242+AS244+AS248+AS256+AS263+AS268+AS273</f>
        <v>0</v>
      </c>
      <c r="AT276" s="7">
        <f>AT226+AT234+AT236+AT242+AT244+AT248+AT256+AT263+AT268+AT273</f>
        <v>0</v>
      </c>
      <c r="AU276" s="7">
        <f>AU226+AU234+AU236+AU242+AU244+AU248+AU256+AU263+AU268+AU273</f>
        <v>0</v>
      </c>
    </row>
    <row r="277" spans="1:3" s="2" customFormat="1" ht="12.75">
      <c r="A277" s="4"/>
      <c r="C277" s="2" t="s">
        <v>4</v>
      </c>
    </row>
    <row r="278" spans="1:42" s="12" customFormat="1" ht="12.75">
      <c r="A278" s="16" t="s">
        <v>173</v>
      </c>
      <c r="B278" s="12" t="s">
        <v>92</v>
      </c>
      <c r="C278" s="12" t="s">
        <v>92</v>
      </c>
      <c r="D278" s="12" t="s">
        <v>92</v>
      </c>
      <c r="E278" s="12" t="s">
        <v>92</v>
      </c>
      <c r="F278" s="12" t="s">
        <v>92</v>
      </c>
      <c r="G278" s="12" t="s">
        <v>92</v>
      </c>
      <c r="H278" s="12" t="s">
        <v>92</v>
      </c>
      <c r="I278" s="12" t="s">
        <v>92</v>
      </c>
      <c r="J278" s="12" t="s">
        <v>92</v>
      </c>
      <c r="K278" s="12" t="s">
        <v>92</v>
      </c>
      <c r="L278" s="12" t="s">
        <v>92</v>
      </c>
      <c r="M278" s="12" t="s">
        <v>92</v>
      </c>
      <c r="N278" s="12" t="s">
        <v>92</v>
      </c>
      <c r="O278" s="12" t="s">
        <v>92</v>
      </c>
      <c r="P278" s="12" t="s">
        <v>92</v>
      </c>
      <c r="Q278" s="12" t="s">
        <v>92</v>
      </c>
      <c r="R278" s="12" t="s">
        <v>92</v>
      </c>
      <c r="S278" s="12" t="s">
        <v>92</v>
      </c>
      <c r="T278" s="12" t="s">
        <v>92</v>
      </c>
      <c r="U278" s="12" t="s">
        <v>92</v>
      </c>
      <c r="V278" s="12" t="s">
        <v>92</v>
      </c>
      <c r="W278" s="12" t="s">
        <v>92</v>
      </c>
      <c r="X278" s="12" t="s">
        <v>92</v>
      </c>
      <c r="Y278" s="12" t="s">
        <v>92</v>
      </c>
      <c r="Z278" s="12" t="s">
        <v>92</v>
      </c>
      <c r="AA278" s="12" t="s">
        <v>92</v>
      </c>
      <c r="AB278" s="12" t="s">
        <v>92</v>
      </c>
      <c r="AC278" s="12" t="s">
        <v>92</v>
      </c>
      <c r="AD278" s="12" t="s">
        <v>92</v>
      </c>
      <c r="AE278" s="12">
        <v>7768</v>
      </c>
      <c r="AF278" s="12">
        <v>11334</v>
      </c>
      <c r="AG278" s="12">
        <v>16382</v>
      </c>
      <c r="AH278" s="12">
        <v>25552</v>
      </c>
      <c r="AI278" s="12">
        <v>23825</v>
      </c>
      <c r="AJ278" s="12">
        <v>19381</v>
      </c>
      <c r="AK278" s="12">
        <v>11570</v>
      </c>
      <c r="AL278" s="12">
        <v>12082</v>
      </c>
      <c r="AM278" s="12">
        <v>14467</v>
      </c>
      <c r="AN278" s="12">
        <v>13633</v>
      </c>
      <c r="AO278" s="12">
        <v>13708</v>
      </c>
      <c r="AP278" s="12">
        <v>11972</v>
      </c>
    </row>
    <row r="279" s="2" customFormat="1" ht="12.75">
      <c r="A279" s="4"/>
    </row>
    <row r="280" s="91" customFormat="1" ht="10.5" customHeight="1">
      <c r="A280" s="90"/>
    </row>
    <row r="281" s="2" customFormat="1" ht="12.75">
      <c r="A281" s="24" t="s">
        <v>174</v>
      </c>
    </row>
    <row r="282" s="2" customFormat="1" ht="12.75">
      <c r="A282" s="4"/>
    </row>
    <row r="283" spans="1:47" s="12" customFormat="1" ht="12.75">
      <c r="A283" s="16" t="s">
        <v>119</v>
      </c>
      <c r="B283" s="12">
        <f aca="true" t="shared" si="207" ref="B283:K283">B284+SUM(B291:B293)</f>
        <v>267.5</v>
      </c>
      <c r="C283" s="12">
        <f t="shared" si="207"/>
        <v>324.59999999999997</v>
      </c>
      <c r="D283" s="12">
        <f t="shared" si="207"/>
        <v>329.90000000000003</v>
      </c>
      <c r="E283" s="12">
        <f t="shared" si="207"/>
        <v>313.2</v>
      </c>
      <c r="F283" s="12">
        <f t="shared" si="207"/>
        <v>285.1</v>
      </c>
      <c r="G283" s="12">
        <f t="shared" si="207"/>
        <v>408</v>
      </c>
      <c r="H283" s="12">
        <f t="shared" si="207"/>
        <v>518.2</v>
      </c>
      <c r="I283" s="12">
        <f t="shared" si="207"/>
        <v>558.2</v>
      </c>
      <c r="J283" s="12">
        <f t="shared" si="207"/>
        <v>711</v>
      </c>
      <c r="K283" s="12">
        <f t="shared" si="207"/>
        <v>856.5</v>
      </c>
      <c r="L283" s="12">
        <f aca="true" t="shared" si="208" ref="L283:U283">L284+SUM(L291:L293)</f>
        <v>987.3</v>
      </c>
      <c r="M283" s="12">
        <f t="shared" si="208"/>
        <v>1068.5</v>
      </c>
      <c r="N283" s="12">
        <f t="shared" si="208"/>
        <v>1336.3000000000002</v>
      </c>
      <c r="O283" s="12">
        <f t="shared" si="208"/>
        <v>1596</v>
      </c>
      <c r="P283" s="12">
        <f t="shared" si="208"/>
        <v>2274</v>
      </c>
      <c r="Q283" s="12">
        <f t="shared" si="208"/>
        <v>4266</v>
      </c>
      <c r="R283" s="12">
        <f t="shared" si="208"/>
        <v>6212</v>
      </c>
      <c r="S283" s="12">
        <f t="shared" si="208"/>
        <v>6713</v>
      </c>
      <c r="T283" s="12">
        <f t="shared" si="208"/>
        <v>7910</v>
      </c>
      <c r="U283" s="12">
        <f t="shared" si="208"/>
        <v>5350</v>
      </c>
      <c r="V283" s="12">
        <f aca="true" t="shared" si="209" ref="V283:AH283">V284+SUM(V291:V293)</f>
        <v>5301</v>
      </c>
      <c r="W283" s="12">
        <f t="shared" si="209"/>
        <v>6207</v>
      </c>
      <c r="X283" s="12">
        <f t="shared" si="209"/>
        <v>8225</v>
      </c>
      <c r="Y283" s="12">
        <f t="shared" si="209"/>
        <v>6861</v>
      </c>
      <c r="Z283" s="12">
        <f t="shared" si="209"/>
        <v>10840</v>
      </c>
      <c r="AA283" s="12">
        <f t="shared" si="209"/>
        <v>8310</v>
      </c>
      <c r="AB283" s="12">
        <f t="shared" si="209"/>
        <v>7411</v>
      </c>
      <c r="AC283" s="12">
        <f t="shared" si="209"/>
        <v>5461</v>
      </c>
      <c r="AD283" s="12">
        <f t="shared" si="209"/>
        <v>5498</v>
      </c>
      <c r="AE283" s="12">
        <f t="shared" si="209"/>
        <v>4829</v>
      </c>
      <c r="AF283" s="12">
        <f t="shared" si="209"/>
        <v>7548</v>
      </c>
      <c r="AG283" s="12">
        <f t="shared" si="209"/>
        <v>11854</v>
      </c>
      <c r="AH283" s="12">
        <f t="shared" si="209"/>
        <v>16325</v>
      </c>
      <c r="AI283" s="12">
        <v>18195</v>
      </c>
      <c r="AJ283" s="12">
        <v>12567</v>
      </c>
      <c r="AK283" s="12">
        <v>7485</v>
      </c>
      <c r="AL283" s="12">
        <v>8524</v>
      </c>
      <c r="AM283" s="12">
        <f aca="true" t="shared" si="210" ref="AM283:AS283">AM284+SUM(AM291:AM293)</f>
        <v>9115</v>
      </c>
      <c r="AN283" s="12">
        <f t="shared" si="210"/>
        <v>7524</v>
      </c>
      <c r="AO283" s="12">
        <f t="shared" si="210"/>
        <v>6310</v>
      </c>
      <c r="AP283" s="12">
        <f t="shared" si="210"/>
        <v>6225</v>
      </c>
      <c r="AQ283" s="12">
        <f t="shared" si="210"/>
        <v>0</v>
      </c>
      <c r="AR283" s="12">
        <f t="shared" si="210"/>
        <v>0</v>
      </c>
      <c r="AS283" s="12">
        <f t="shared" si="210"/>
        <v>0</v>
      </c>
      <c r="AT283" s="12">
        <f>AT284+SUM(AT291:AT293)</f>
        <v>0</v>
      </c>
      <c r="AU283" s="12">
        <f>AU284+SUM(AU291:AU293)</f>
        <v>0</v>
      </c>
    </row>
    <row r="284" spans="1:47" s="2" customFormat="1" ht="12.75">
      <c r="A284" s="4" t="s">
        <v>175</v>
      </c>
      <c r="B284" s="2">
        <v>217.7</v>
      </c>
      <c r="C284" s="2">
        <v>261.9</v>
      </c>
      <c r="D284" s="2">
        <v>260.6</v>
      </c>
      <c r="E284" s="2">
        <v>234.9</v>
      </c>
      <c r="F284" s="2">
        <v>221.9</v>
      </c>
      <c r="G284" s="2">
        <v>317.9</v>
      </c>
      <c r="H284" s="2">
        <v>410.1</v>
      </c>
      <c r="I284" s="2">
        <v>444.5</v>
      </c>
      <c r="J284" s="2">
        <v>545.3</v>
      </c>
      <c r="K284" s="2">
        <v>641.7</v>
      </c>
      <c r="L284" s="2">
        <v>737.4</v>
      </c>
      <c r="M284" s="2">
        <v>845</v>
      </c>
      <c r="N284" s="2">
        <v>1110.9</v>
      </c>
      <c r="O284" s="2">
        <v>1266</v>
      </c>
      <c r="P284" s="2">
        <v>1912</v>
      </c>
      <c r="Q284" s="2">
        <v>3324</v>
      </c>
      <c r="R284" s="2">
        <v>4337</v>
      </c>
      <c r="S284" s="2">
        <v>4773</v>
      </c>
      <c r="T284" s="2">
        <v>5679</v>
      </c>
      <c r="U284" s="2">
        <v>3919</v>
      </c>
      <c r="V284" s="2">
        <v>3872</v>
      </c>
      <c r="W284" s="2">
        <v>4580</v>
      </c>
      <c r="X284" s="2">
        <v>6189</v>
      </c>
      <c r="Y284" s="2">
        <v>5321</v>
      </c>
      <c r="Z284" s="2">
        <v>8419</v>
      </c>
      <c r="AA284" s="2">
        <v>6065</v>
      </c>
      <c r="AB284" s="2">
        <v>5570</v>
      </c>
      <c r="AC284" s="2">
        <v>4017</v>
      </c>
      <c r="AD284" s="2">
        <v>4161</v>
      </c>
      <c r="AE284" s="2">
        <v>3492</v>
      </c>
      <c r="AF284" s="2">
        <v>5859</v>
      </c>
      <c r="AG284" s="2">
        <v>9574</v>
      </c>
      <c r="AH284" s="2">
        <v>12049</v>
      </c>
      <c r="AI284" s="2" t="s">
        <v>92</v>
      </c>
      <c r="AJ284" s="2" t="s">
        <v>92</v>
      </c>
      <c r="AK284" s="2" t="s">
        <v>92</v>
      </c>
      <c r="AL284" s="2" t="s">
        <v>92</v>
      </c>
      <c r="AM284" s="2">
        <f aca="true" t="shared" si="211" ref="AM284:AS284">SUM(AM285:AM290)</f>
        <v>7779</v>
      </c>
      <c r="AN284" s="2">
        <f t="shared" si="211"/>
        <v>6542</v>
      </c>
      <c r="AO284" s="2">
        <f t="shared" si="211"/>
        <v>5372</v>
      </c>
      <c r="AP284" s="2">
        <f t="shared" si="211"/>
        <v>5464</v>
      </c>
      <c r="AQ284" s="2">
        <f t="shared" si="211"/>
        <v>0</v>
      </c>
      <c r="AR284" s="2">
        <f t="shared" si="211"/>
        <v>0</v>
      </c>
      <c r="AS284" s="2">
        <f t="shared" si="211"/>
        <v>0</v>
      </c>
      <c r="AT284" s="2">
        <f>SUM(AT285:AT290)</f>
        <v>0</v>
      </c>
      <c r="AU284" s="2">
        <f>SUM(AU285:AU290)</f>
        <v>0</v>
      </c>
    </row>
    <row r="285" spans="1:42" s="2" customFormat="1" ht="12.75">
      <c r="A285" s="4" t="s">
        <v>121</v>
      </c>
      <c r="B285" s="2" t="s">
        <v>92</v>
      </c>
      <c r="C285" s="2" t="s">
        <v>92</v>
      </c>
      <c r="D285" s="2" t="s">
        <v>92</v>
      </c>
      <c r="E285" s="2" t="s">
        <v>92</v>
      </c>
      <c r="F285" s="2" t="s">
        <v>92</v>
      </c>
      <c r="G285" s="2" t="s">
        <v>92</v>
      </c>
      <c r="H285" s="2" t="s">
        <v>92</v>
      </c>
      <c r="I285" s="2" t="s">
        <v>92</v>
      </c>
      <c r="J285" s="2" t="s">
        <v>92</v>
      </c>
      <c r="K285" s="2" t="s">
        <v>92</v>
      </c>
      <c r="L285" s="2" t="s">
        <v>92</v>
      </c>
      <c r="M285" s="2" t="s">
        <v>92</v>
      </c>
      <c r="N285" s="2" t="s">
        <v>92</v>
      </c>
      <c r="O285" s="2" t="s">
        <v>92</v>
      </c>
      <c r="P285" s="2" t="s">
        <v>92</v>
      </c>
      <c r="Q285" s="2" t="s">
        <v>92</v>
      </c>
      <c r="R285" s="2" t="s">
        <v>92</v>
      </c>
      <c r="S285" s="2" t="s">
        <v>92</v>
      </c>
      <c r="T285" s="2" t="s">
        <v>92</v>
      </c>
      <c r="U285" s="2" t="s">
        <v>92</v>
      </c>
      <c r="V285" s="2" t="s">
        <v>92</v>
      </c>
      <c r="W285" s="2" t="s">
        <v>92</v>
      </c>
      <c r="X285" s="2" t="s">
        <v>92</v>
      </c>
      <c r="Y285" s="2" t="s">
        <v>92</v>
      </c>
      <c r="Z285" s="2" t="s">
        <v>92</v>
      </c>
      <c r="AA285" s="2" t="s">
        <v>92</v>
      </c>
      <c r="AB285" s="2" t="s">
        <v>92</v>
      </c>
      <c r="AC285" s="2" t="s">
        <v>92</v>
      </c>
      <c r="AD285" s="2" t="s">
        <v>92</v>
      </c>
      <c r="AE285" s="2" t="s">
        <v>92</v>
      </c>
      <c r="AF285" s="2" t="s">
        <v>92</v>
      </c>
      <c r="AG285" s="2" t="s">
        <v>92</v>
      </c>
      <c r="AH285" s="2" t="s">
        <v>92</v>
      </c>
      <c r="AI285" s="2" t="s">
        <v>92</v>
      </c>
      <c r="AJ285" s="2" t="s">
        <v>92</v>
      </c>
      <c r="AK285" s="2" t="s">
        <v>92</v>
      </c>
      <c r="AL285" s="2" t="s">
        <v>92</v>
      </c>
      <c r="AM285" s="2">
        <v>274</v>
      </c>
      <c r="AN285" s="2">
        <v>290</v>
      </c>
      <c r="AO285" s="2">
        <v>274</v>
      </c>
      <c r="AP285" s="2">
        <v>297</v>
      </c>
    </row>
    <row r="286" spans="1:42" s="2" customFormat="1" ht="12.75">
      <c r="A286" s="4" t="s">
        <v>122</v>
      </c>
      <c r="B286" s="2" t="s">
        <v>92</v>
      </c>
      <c r="C286" s="2" t="s">
        <v>92</v>
      </c>
      <c r="D286" s="2" t="s">
        <v>92</v>
      </c>
      <c r="E286" s="2" t="s">
        <v>92</v>
      </c>
      <c r="F286" s="2" t="s">
        <v>92</v>
      </c>
      <c r="G286" s="2" t="s">
        <v>92</v>
      </c>
      <c r="H286" s="2" t="s">
        <v>92</v>
      </c>
      <c r="I286" s="2" t="s">
        <v>92</v>
      </c>
      <c r="J286" s="2" t="s">
        <v>92</v>
      </c>
      <c r="K286" s="2" t="s">
        <v>92</v>
      </c>
      <c r="L286" s="2" t="s">
        <v>92</v>
      </c>
      <c r="M286" s="2" t="s">
        <v>92</v>
      </c>
      <c r="N286" s="2" t="s">
        <v>92</v>
      </c>
      <c r="O286" s="2" t="s">
        <v>92</v>
      </c>
      <c r="P286" s="2" t="s">
        <v>92</v>
      </c>
      <c r="Q286" s="2" t="s">
        <v>92</v>
      </c>
      <c r="R286" s="2" t="s">
        <v>92</v>
      </c>
      <c r="S286" s="2" t="s">
        <v>92</v>
      </c>
      <c r="T286" s="2" t="s">
        <v>92</v>
      </c>
      <c r="U286" s="2" t="s">
        <v>92</v>
      </c>
      <c r="V286" s="2" t="s">
        <v>92</v>
      </c>
      <c r="W286" s="2" t="s">
        <v>92</v>
      </c>
      <c r="X286" s="2" t="s">
        <v>92</v>
      </c>
      <c r="Y286" s="2" t="s">
        <v>92</v>
      </c>
      <c r="Z286" s="2" t="s">
        <v>92</v>
      </c>
      <c r="AA286" s="2" t="s">
        <v>92</v>
      </c>
      <c r="AB286" s="2" t="s">
        <v>92</v>
      </c>
      <c r="AC286" s="2" t="s">
        <v>92</v>
      </c>
      <c r="AD286" s="2" t="s">
        <v>92</v>
      </c>
      <c r="AE286" s="2" t="s">
        <v>92</v>
      </c>
      <c r="AF286" s="2" t="s">
        <v>92</v>
      </c>
      <c r="AG286" s="2" t="s">
        <v>92</v>
      </c>
      <c r="AH286" s="2" t="s">
        <v>92</v>
      </c>
      <c r="AI286" s="2" t="s">
        <v>92</v>
      </c>
      <c r="AJ286" s="2" t="s">
        <v>92</v>
      </c>
      <c r="AK286" s="2" t="s">
        <v>92</v>
      </c>
      <c r="AL286" s="2" t="s">
        <v>92</v>
      </c>
      <c r="AM286" s="2">
        <v>1605</v>
      </c>
      <c r="AN286" s="2">
        <v>1514</v>
      </c>
      <c r="AO286" s="2">
        <v>1479</v>
      </c>
      <c r="AP286" s="2">
        <v>1396</v>
      </c>
    </row>
    <row r="287" spans="1:42" s="2" customFormat="1" ht="12.75">
      <c r="A287" s="4" t="s">
        <v>123</v>
      </c>
      <c r="B287" s="2" t="s">
        <v>92</v>
      </c>
      <c r="C287" s="2" t="s">
        <v>92</v>
      </c>
      <c r="D287" s="2" t="s">
        <v>92</v>
      </c>
      <c r="E287" s="2" t="s">
        <v>92</v>
      </c>
      <c r="F287" s="2" t="s">
        <v>92</v>
      </c>
      <c r="G287" s="2" t="s">
        <v>92</v>
      </c>
      <c r="H287" s="2" t="s">
        <v>92</v>
      </c>
      <c r="I287" s="2" t="s">
        <v>92</v>
      </c>
      <c r="J287" s="2" t="s">
        <v>92</v>
      </c>
      <c r="K287" s="2" t="s">
        <v>92</v>
      </c>
      <c r="L287" s="2" t="s">
        <v>92</v>
      </c>
      <c r="M287" s="2" t="s">
        <v>92</v>
      </c>
      <c r="N287" s="2" t="s">
        <v>92</v>
      </c>
      <c r="O287" s="2" t="s">
        <v>92</v>
      </c>
      <c r="P287" s="2" t="s">
        <v>92</v>
      </c>
      <c r="Q287" s="2" t="s">
        <v>92</v>
      </c>
      <c r="R287" s="2" t="s">
        <v>92</v>
      </c>
      <c r="S287" s="2" t="s">
        <v>92</v>
      </c>
      <c r="T287" s="2" t="s">
        <v>92</v>
      </c>
      <c r="U287" s="2" t="s">
        <v>92</v>
      </c>
      <c r="V287" s="2" t="s">
        <v>92</v>
      </c>
      <c r="W287" s="2" t="s">
        <v>92</v>
      </c>
      <c r="X287" s="2" t="s">
        <v>92</v>
      </c>
      <c r="Y287" s="2" t="s">
        <v>92</v>
      </c>
      <c r="Z287" s="2" t="s">
        <v>92</v>
      </c>
      <c r="AA287" s="2" t="s">
        <v>92</v>
      </c>
      <c r="AB287" s="2" t="s">
        <v>92</v>
      </c>
      <c r="AC287" s="2" t="s">
        <v>92</v>
      </c>
      <c r="AD287" s="2" t="s">
        <v>92</v>
      </c>
      <c r="AE287" s="2" t="s">
        <v>92</v>
      </c>
      <c r="AF287" s="2" t="s">
        <v>92</v>
      </c>
      <c r="AG287" s="2" t="s">
        <v>92</v>
      </c>
      <c r="AH287" s="2" t="s">
        <v>92</v>
      </c>
      <c r="AI287" s="2" t="s">
        <v>92</v>
      </c>
      <c r="AJ287" s="2" t="s">
        <v>92</v>
      </c>
      <c r="AK287" s="2" t="s">
        <v>92</v>
      </c>
      <c r="AL287" s="2" t="s">
        <v>92</v>
      </c>
      <c r="AM287" s="2">
        <v>5</v>
      </c>
      <c r="AN287" s="2">
        <v>5</v>
      </c>
      <c r="AO287" s="2">
        <v>5</v>
      </c>
      <c r="AP287" s="2">
        <v>6</v>
      </c>
    </row>
    <row r="288" spans="1:42" s="2" customFormat="1" ht="12.75">
      <c r="A288" s="4" t="s">
        <v>124</v>
      </c>
      <c r="B288" s="2" t="s">
        <v>92</v>
      </c>
      <c r="C288" s="2" t="s">
        <v>92</v>
      </c>
      <c r="D288" s="2" t="s">
        <v>92</v>
      </c>
      <c r="E288" s="2" t="s">
        <v>92</v>
      </c>
      <c r="F288" s="2" t="s">
        <v>92</v>
      </c>
      <c r="G288" s="2" t="s">
        <v>92</v>
      </c>
      <c r="H288" s="2" t="s">
        <v>92</v>
      </c>
      <c r="I288" s="2" t="s">
        <v>92</v>
      </c>
      <c r="J288" s="2" t="s">
        <v>92</v>
      </c>
      <c r="K288" s="2" t="s">
        <v>92</v>
      </c>
      <c r="L288" s="2" t="s">
        <v>92</v>
      </c>
      <c r="M288" s="2" t="s">
        <v>92</v>
      </c>
      <c r="N288" s="2" t="s">
        <v>92</v>
      </c>
      <c r="O288" s="2" t="s">
        <v>92</v>
      </c>
      <c r="P288" s="2" t="s">
        <v>92</v>
      </c>
      <c r="Q288" s="2" t="s">
        <v>92</v>
      </c>
      <c r="R288" s="2" t="s">
        <v>92</v>
      </c>
      <c r="S288" s="2" t="s">
        <v>92</v>
      </c>
      <c r="T288" s="2" t="s">
        <v>92</v>
      </c>
      <c r="U288" s="2" t="s">
        <v>92</v>
      </c>
      <c r="V288" s="2" t="s">
        <v>92</v>
      </c>
      <c r="W288" s="2" t="s">
        <v>92</v>
      </c>
      <c r="X288" s="2" t="s">
        <v>92</v>
      </c>
      <c r="Y288" s="2" t="s">
        <v>92</v>
      </c>
      <c r="Z288" s="2" t="s">
        <v>92</v>
      </c>
      <c r="AA288" s="2" t="s">
        <v>92</v>
      </c>
      <c r="AB288" s="2" t="s">
        <v>92</v>
      </c>
      <c r="AC288" s="2" t="s">
        <v>92</v>
      </c>
      <c r="AD288" s="2" t="s">
        <v>92</v>
      </c>
      <c r="AE288" s="2" t="s">
        <v>92</v>
      </c>
      <c r="AF288" s="2" t="s">
        <v>92</v>
      </c>
      <c r="AG288" s="2" t="s">
        <v>92</v>
      </c>
      <c r="AH288" s="2" t="s">
        <v>92</v>
      </c>
      <c r="AI288" s="2" t="s">
        <v>92</v>
      </c>
      <c r="AJ288" s="2" t="s">
        <v>92</v>
      </c>
      <c r="AK288" s="2" t="s">
        <v>92</v>
      </c>
      <c r="AL288" s="2" t="s">
        <v>92</v>
      </c>
      <c r="AM288" s="2">
        <v>352</v>
      </c>
      <c r="AN288" s="2">
        <v>205</v>
      </c>
      <c r="AO288" s="2">
        <v>139</v>
      </c>
      <c r="AP288" s="2">
        <v>130</v>
      </c>
    </row>
    <row r="289" spans="1:42" s="2" customFormat="1" ht="12.75">
      <c r="A289" s="4" t="s">
        <v>125</v>
      </c>
      <c r="B289" s="2" t="s">
        <v>92</v>
      </c>
      <c r="C289" s="2" t="s">
        <v>92</v>
      </c>
      <c r="D289" s="2" t="s">
        <v>92</v>
      </c>
      <c r="E289" s="2" t="s">
        <v>92</v>
      </c>
      <c r="F289" s="2" t="s">
        <v>92</v>
      </c>
      <c r="G289" s="2" t="s">
        <v>92</v>
      </c>
      <c r="H289" s="2" t="s">
        <v>92</v>
      </c>
      <c r="I289" s="2" t="s">
        <v>92</v>
      </c>
      <c r="J289" s="2" t="s">
        <v>92</v>
      </c>
      <c r="K289" s="2" t="s">
        <v>92</v>
      </c>
      <c r="L289" s="2" t="s">
        <v>92</v>
      </c>
      <c r="M289" s="2" t="s">
        <v>92</v>
      </c>
      <c r="N289" s="2" t="s">
        <v>92</v>
      </c>
      <c r="O289" s="2" t="s">
        <v>92</v>
      </c>
      <c r="P289" s="2" t="s">
        <v>92</v>
      </c>
      <c r="Q289" s="2" t="s">
        <v>92</v>
      </c>
      <c r="R289" s="2" t="s">
        <v>92</v>
      </c>
      <c r="S289" s="2" t="s">
        <v>92</v>
      </c>
      <c r="T289" s="2" t="s">
        <v>92</v>
      </c>
      <c r="U289" s="2" t="s">
        <v>92</v>
      </c>
      <c r="V289" s="2" t="s">
        <v>92</v>
      </c>
      <c r="W289" s="2" t="s">
        <v>92</v>
      </c>
      <c r="X289" s="2" t="s">
        <v>92</v>
      </c>
      <c r="Y289" s="2" t="s">
        <v>92</v>
      </c>
      <c r="Z289" s="2" t="s">
        <v>92</v>
      </c>
      <c r="AA289" s="2" t="s">
        <v>92</v>
      </c>
      <c r="AB289" s="2" t="s">
        <v>92</v>
      </c>
      <c r="AC289" s="2" t="s">
        <v>92</v>
      </c>
      <c r="AD289" s="2" t="s">
        <v>92</v>
      </c>
      <c r="AE289" s="2" t="s">
        <v>92</v>
      </c>
      <c r="AF289" s="2" t="s">
        <v>92</v>
      </c>
      <c r="AG289" s="2" t="s">
        <v>92</v>
      </c>
      <c r="AH289" s="2" t="s">
        <v>92</v>
      </c>
      <c r="AI289" s="2" t="s">
        <v>92</v>
      </c>
      <c r="AJ289" s="2" t="s">
        <v>92</v>
      </c>
      <c r="AK289" s="2" t="s">
        <v>92</v>
      </c>
      <c r="AL289" s="2" t="s">
        <v>92</v>
      </c>
      <c r="AM289" s="2">
        <v>2002</v>
      </c>
      <c r="AN289" s="2">
        <v>1912</v>
      </c>
      <c r="AO289" s="2">
        <v>1354</v>
      </c>
      <c r="AP289" s="2">
        <v>1556</v>
      </c>
    </row>
    <row r="290" spans="1:42" s="2" customFormat="1" ht="12.75">
      <c r="A290" s="4" t="s">
        <v>126</v>
      </c>
      <c r="B290" s="2" t="s">
        <v>92</v>
      </c>
      <c r="C290" s="2" t="s">
        <v>92</v>
      </c>
      <c r="D290" s="2" t="s">
        <v>92</v>
      </c>
      <c r="E290" s="2" t="s">
        <v>92</v>
      </c>
      <c r="F290" s="2" t="s">
        <v>92</v>
      </c>
      <c r="G290" s="2" t="s">
        <v>92</v>
      </c>
      <c r="H290" s="2" t="s">
        <v>92</v>
      </c>
      <c r="I290" s="2" t="s">
        <v>92</v>
      </c>
      <c r="J290" s="2" t="s">
        <v>92</v>
      </c>
      <c r="K290" s="2" t="s">
        <v>92</v>
      </c>
      <c r="L290" s="2" t="s">
        <v>92</v>
      </c>
      <c r="M290" s="2" t="s">
        <v>92</v>
      </c>
      <c r="N290" s="2" t="s">
        <v>92</v>
      </c>
      <c r="O290" s="2" t="s">
        <v>92</v>
      </c>
      <c r="P290" s="2" t="s">
        <v>92</v>
      </c>
      <c r="Q290" s="2" t="s">
        <v>92</v>
      </c>
      <c r="R290" s="2" t="s">
        <v>92</v>
      </c>
      <c r="S290" s="2" t="s">
        <v>92</v>
      </c>
      <c r="T290" s="2" t="s">
        <v>92</v>
      </c>
      <c r="U290" s="2" t="s">
        <v>92</v>
      </c>
      <c r="V290" s="2" t="s">
        <v>92</v>
      </c>
      <c r="W290" s="2" t="s">
        <v>92</v>
      </c>
      <c r="X290" s="2" t="s">
        <v>92</v>
      </c>
      <c r="Y290" s="2" t="s">
        <v>92</v>
      </c>
      <c r="Z290" s="2" t="s">
        <v>92</v>
      </c>
      <c r="AA290" s="2" t="s">
        <v>92</v>
      </c>
      <c r="AB290" s="2" t="s">
        <v>92</v>
      </c>
      <c r="AC290" s="2" t="s">
        <v>92</v>
      </c>
      <c r="AD290" s="2" t="s">
        <v>92</v>
      </c>
      <c r="AE290" s="2" t="s">
        <v>92</v>
      </c>
      <c r="AF290" s="2" t="s">
        <v>92</v>
      </c>
      <c r="AG290" s="2" t="s">
        <v>92</v>
      </c>
      <c r="AH290" s="2" t="s">
        <v>92</v>
      </c>
      <c r="AI290" s="2" t="s">
        <v>92</v>
      </c>
      <c r="AJ290" s="2" t="s">
        <v>92</v>
      </c>
      <c r="AK290" s="2" t="s">
        <v>92</v>
      </c>
      <c r="AL290" s="2" t="s">
        <v>92</v>
      </c>
      <c r="AM290" s="2">
        <v>3541</v>
      </c>
      <c r="AN290" s="2">
        <v>2616</v>
      </c>
      <c r="AO290" s="2">
        <v>2121</v>
      </c>
      <c r="AP290" s="2">
        <v>2079</v>
      </c>
    </row>
    <row r="291" spans="1:42" s="2" customFormat="1" ht="12.75">
      <c r="A291" s="4" t="s">
        <v>176</v>
      </c>
      <c r="B291" s="2">
        <v>26.2</v>
      </c>
      <c r="C291" s="2">
        <v>40.4</v>
      </c>
      <c r="D291" s="2">
        <v>35.5</v>
      </c>
      <c r="E291" s="2">
        <v>49.8</v>
      </c>
      <c r="F291" s="2">
        <v>34.8</v>
      </c>
      <c r="G291" s="2">
        <v>58.8</v>
      </c>
      <c r="H291" s="2">
        <v>69.2</v>
      </c>
      <c r="I291" s="2">
        <v>74.7</v>
      </c>
      <c r="J291" s="2">
        <v>120.8</v>
      </c>
      <c r="K291" s="2">
        <v>147</v>
      </c>
      <c r="L291" s="2">
        <v>152.7</v>
      </c>
      <c r="M291" s="2">
        <v>145.8</v>
      </c>
      <c r="N291" s="2">
        <v>138.5</v>
      </c>
      <c r="O291" s="2">
        <v>204</v>
      </c>
      <c r="P291" s="2">
        <v>238</v>
      </c>
      <c r="Q291" s="2">
        <v>376</v>
      </c>
      <c r="R291" s="2">
        <v>917</v>
      </c>
      <c r="S291" s="2">
        <v>987</v>
      </c>
      <c r="T291" s="2">
        <v>1186</v>
      </c>
      <c r="U291" s="2">
        <v>650</v>
      </c>
      <c r="V291" s="2">
        <v>465</v>
      </c>
      <c r="W291" s="2">
        <v>517</v>
      </c>
      <c r="X291" s="2">
        <v>489</v>
      </c>
      <c r="Y291" s="2">
        <v>436</v>
      </c>
      <c r="Z291" s="2">
        <v>585</v>
      </c>
      <c r="AA291" s="2">
        <v>576</v>
      </c>
      <c r="AB291" s="2">
        <v>391</v>
      </c>
      <c r="AC291" s="2">
        <v>405</v>
      </c>
      <c r="AD291" s="2">
        <v>407</v>
      </c>
      <c r="AE291" s="2">
        <v>424</v>
      </c>
      <c r="AF291" s="2">
        <v>488</v>
      </c>
      <c r="AG291" s="2">
        <v>830</v>
      </c>
      <c r="AH291" s="2">
        <v>1417</v>
      </c>
      <c r="AI291" s="2" t="s">
        <v>92</v>
      </c>
      <c r="AJ291" s="2" t="s">
        <v>92</v>
      </c>
      <c r="AK291" s="2" t="s">
        <v>92</v>
      </c>
      <c r="AL291" s="2" t="s">
        <v>92</v>
      </c>
      <c r="AM291" s="2">
        <v>667</v>
      </c>
      <c r="AN291" s="2">
        <v>464</v>
      </c>
      <c r="AO291" s="2">
        <v>571</v>
      </c>
      <c r="AP291" s="2">
        <v>402</v>
      </c>
    </row>
    <row r="292" spans="1:42" s="2" customFormat="1" ht="12.75">
      <c r="A292" s="4" t="s">
        <v>177</v>
      </c>
      <c r="B292" s="2">
        <v>1.5</v>
      </c>
      <c r="C292" s="2">
        <v>2.4</v>
      </c>
      <c r="D292" s="2">
        <v>4.7</v>
      </c>
      <c r="E292" s="2">
        <v>5</v>
      </c>
      <c r="F292" s="2">
        <v>6.3</v>
      </c>
      <c r="G292" s="2">
        <v>6.6</v>
      </c>
      <c r="H292" s="2">
        <v>8.2</v>
      </c>
      <c r="I292" s="2">
        <v>7.7</v>
      </c>
      <c r="J292" s="2">
        <v>14</v>
      </c>
      <c r="K292" s="2">
        <v>15.7</v>
      </c>
      <c r="L292" s="2">
        <v>32.4</v>
      </c>
      <c r="M292" s="2">
        <v>25</v>
      </c>
      <c r="N292" s="2">
        <v>29.1</v>
      </c>
      <c r="O292" s="2">
        <v>29</v>
      </c>
      <c r="P292" s="2">
        <v>48</v>
      </c>
      <c r="Q292" s="2">
        <v>122</v>
      </c>
      <c r="R292" s="2">
        <v>240</v>
      </c>
      <c r="S292" s="2">
        <v>148</v>
      </c>
      <c r="T292" s="2">
        <v>257</v>
      </c>
      <c r="U292" s="2">
        <v>164</v>
      </c>
      <c r="V292" s="2">
        <v>297</v>
      </c>
      <c r="W292" s="2">
        <v>340</v>
      </c>
      <c r="X292" s="2">
        <v>500</v>
      </c>
      <c r="Y292" s="2">
        <v>425</v>
      </c>
      <c r="Z292" s="2">
        <v>431</v>
      </c>
      <c r="AA292" s="2">
        <v>445</v>
      </c>
      <c r="AB292" s="2">
        <v>314</v>
      </c>
      <c r="AC292" s="2">
        <v>315</v>
      </c>
      <c r="AD292" s="2">
        <v>286</v>
      </c>
      <c r="AE292" s="2">
        <v>317</v>
      </c>
      <c r="AF292" s="2">
        <v>453</v>
      </c>
      <c r="AG292" s="2">
        <v>333</v>
      </c>
      <c r="AH292" s="2">
        <v>304</v>
      </c>
      <c r="AI292" s="2" t="s">
        <v>92</v>
      </c>
      <c r="AJ292" s="2" t="s">
        <v>92</v>
      </c>
      <c r="AK292" s="2" t="s">
        <v>92</v>
      </c>
      <c r="AL292" s="2" t="s">
        <v>92</v>
      </c>
      <c r="AM292" s="2">
        <v>179</v>
      </c>
      <c r="AN292" s="2">
        <v>332</v>
      </c>
      <c r="AO292" s="2">
        <v>138</v>
      </c>
      <c r="AP292" s="2">
        <v>176</v>
      </c>
    </row>
    <row r="293" spans="1:42" s="2" customFormat="1" ht="12.75">
      <c r="A293" s="4" t="s">
        <v>178</v>
      </c>
      <c r="B293" s="2">
        <v>22.1</v>
      </c>
      <c r="C293" s="2">
        <v>19.9</v>
      </c>
      <c r="D293" s="2">
        <v>29.1</v>
      </c>
      <c r="E293" s="2">
        <v>23.5</v>
      </c>
      <c r="F293" s="2">
        <v>22.1</v>
      </c>
      <c r="G293" s="2">
        <v>24.7</v>
      </c>
      <c r="H293" s="2">
        <v>30.7</v>
      </c>
      <c r="I293" s="2">
        <v>31.3</v>
      </c>
      <c r="J293" s="2">
        <v>30.9</v>
      </c>
      <c r="K293" s="2">
        <v>52.1</v>
      </c>
      <c r="L293" s="2">
        <v>64.8</v>
      </c>
      <c r="M293" s="2">
        <v>52.7</v>
      </c>
      <c r="N293" s="2">
        <v>57.8</v>
      </c>
      <c r="O293" s="2">
        <v>97</v>
      </c>
      <c r="P293" s="2">
        <v>76</v>
      </c>
      <c r="Q293" s="2">
        <v>444</v>
      </c>
      <c r="R293" s="2">
        <v>718</v>
      </c>
      <c r="S293" s="2">
        <v>805</v>
      </c>
      <c r="T293" s="2">
        <v>788</v>
      </c>
      <c r="U293" s="2">
        <v>617</v>
      </c>
      <c r="V293" s="2">
        <v>667</v>
      </c>
      <c r="W293" s="2">
        <v>770</v>
      </c>
      <c r="X293" s="2">
        <v>1047</v>
      </c>
      <c r="Y293" s="2">
        <v>679</v>
      </c>
      <c r="Z293" s="2">
        <v>1405</v>
      </c>
      <c r="AA293" s="2">
        <v>1224</v>
      </c>
      <c r="AB293" s="2">
        <v>1136</v>
      </c>
      <c r="AC293" s="2">
        <v>724</v>
      </c>
      <c r="AD293" s="2">
        <v>644</v>
      </c>
      <c r="AE293" s="2">
        <v>596</v>
      </c>
      <c r="AF293" s="2">
        <v>748</v>
      </c>
      <c r="AG293" s="2">
        <v>1117</v>
      </c>
      <c r="AH293" s="2">
        <v>2555</v>
      </c>
      <c r="AI293" s="2" t="s">
        <v>92</v>
      </c>
      <c r="AJ293" s="2" t="s">
        <v>92</v>
      </c>
      <c r="AK293" s="2" t="s">
        <v>92</v>
      </c>
      <c r="AL293" s="2" t="s">
        <v>92</v>
      </c>
      <c r="AM293" s="2">
        <v>490</v>
      </c>
      <c r="AN293" s="2">
        <v>186</v>
      </c>
      <c r="AO293" s="2">
        <v>229</v>
      </c>
      <c r="AP293" s="2">
        <v>183</v>
      </c>
    </row>
    <row r="294" s="2" customFormat="1" ht="12.75">
      <c r="A294" s="4" t="s">
        <v>179</v>
      </c>
    </row>
    <row r="295" spans="1:47" s="12" customFormat="1" ht="12.75">
      <c r="A295" s="16" t="s">
        <v>180</v>
      </c>
      <c r="B295" s="12">
        <f aca="true" t="shared" si="212" ref="B295:Q295">SUM(B296:B298)</f>
        <v>112.1</v>
      </c>
      <c r="C295" s="12">
        <f t="shared" si="212"/>
        <v>167.1</v>
      </c>
      <c r="D295" s="12">
        <f t="shared" si="212"/>
        <v>129.79999999999998</v>
      </c>
      <c r="E295" s="12">
        <f t="shared" si="212"/>
        <v>114.89999999999999</v>
      </c>
      <c r="F295" s="12">
        <f t="shared" si="212"/>
        <v>104.4</v>
      </c>
      <c r="G295" s="12">
        <f t="shared" si="212"/>
        <v>162.4</v>
      </c>
      <c r="H295" s="12">
        <f t="shared" si="212"/>
        <v>222.99999999999997</v>
      </c>
      <c r="I295" s="12">
        <f t="shared" si="212"/>
        <v>260.7</v>
      </c>
      <c r="J295" s="12">
        <f t="shared" si="212"/>
        <v>329.3</v>
      </c>
      <c r="K295" s="12">
        <f t="shared" si="212"/>
        <v>376.29999999999995</v>
      </c>
      <c r="L295" s="12">
        <f t="shared" si="212"/>
        <v>387.2</v>
      </c>
      <c r="M295" s="12">
        <f t="shared" si="212"/>
        <v>391</v>
      </c>
      <c r="N295" s="12">
        <f t="shared" si="212"/>
        <v>482.90000000000003</v>
      </c>
      <c r="O295" s="12">
        <f t="shared" si="212"/>
        <v>642</v>
      </c>
      <c r="P295" s="12">
        <f t="shared" si="212"/>
        <v>906</v>
      </c>
      <c r="Q295" s="12">
        <f t="shared" si="212"/>
        <v>1331</v>
      </c>
      <c r="R295" s="12">
        <f aca="true" t="shared" si="213" ref="R295:AG295">SUM(R296:R298)</f>
        <v>3489</v>
      </c>
      <c r="S295" s="12">
        <f t="shared" si="213"/>
        <v>3803</v>
      </c>
      <c r="T295" s="12">
        <f t="shared" si="213"/>
        <v>4019</v>
      </c>
      <c r="U295" s="12">
        <f t="shared" si="213"/>
        <v>2908</v>
      </c>
      <c r="V295" s="12">
        <f t="shared" si="213"/>
        <v>1835</v>
      </c>
      <c r="W295" s="12">
        <f t="shared" si="213"/>
        <v>1738</v>
      </c>
      <c r="X295" s="12">
        <f t="shared" si="213"/>
        <v>2149</v>
      </c>
      <c r="Y295" s="12">
        <f t="shared" si="213"/>
        <v>2308</v>
      </c>
      <c r="Z295" s="12">
        <f t="shared" si="213"/>
        <v>4352</v>
      </c>
      <c r="AA295" s="12">
        <f t="shared" si="213"/>
        <v>3867</v>
      </c>
      <c r="AB295" s="12">
        <f t="shared" si="213"/>
        <v>2421</v>
      </c>
      <c r="AC295" s="12">
        <f t="shared" si="213"/>
        <v>2199</v>
      </c>
      <c r="AD295" s="12">
        <f t="shared" si="213"/>
        <v>2209</v>
      </c>
      <c r="AE295" s="12">
        <f t="shared" si="213"/>
        <v>1869</v>
      </c>
      <c r="AF295" s="12">
        <f t="shared" si="213"/>
        <v>2915</v>
      </c>
      <c r="AG295" s="12">
        <f t="shared" si="213"/>
        <v>4363</v>
      </c>
      <c r="AH295" s="12">
        <f>SUM(AH296:AH298)</f>
        <v>9911</v>
      </c>
      <c r="AI295" s="12">
        <v>8212</v>
      </c>
      <c r="AJ295" s="12">
        <v>5085</v>
      </c>
      <c r="AK295" s="12">
        <v>2771</v>
      </c>
      <c r="AL295" s="12">
        <v>1860</v>
      </c>
      <c r="AM295" s="12">
        <v>3807</v>
      </c>
      <c r="AN295" s="12">
        <v>4661</v>
      </c>
      <c r="AO295" s="12">
        <v>6002</v>
      </c>
      <c r="AP295" s="12">
        <v>4510</v>
      </c>
      <c r="AQ295" s="12">
        <f>SUM(AQ296:AQ298)</f>
        <v>0</v>
      </c>
      <c r="AR295" s="12">
        <f>SUM(AR296:AR298)</f>
        <v>0</v>
      </c>
      <c r="AS295" s="12">
        <f>SUM(AS296:AS298)</f>
        <v>0</v>
      </c>
      <c r="AT295" s="12">
        <f>SUM(AT296:AT298)</f>
        <v>0</v>
      </c>
      <c r="AU295" s="12">
        <f>SUM(AU296:AU298)</f>
        <v>0</v>
      </c>
    </row>
    <row r="296" spans="1:42" s="2" customFormat="1" ht="12.75">
      <c r="A296" s="4" t="s">
        <v>175</v>
      </c>
      <c r="B296" s="2">
        <v>60.1</v>
      </c>
      <c r="C296" s="2">
        <v>84.1</v>
      </c>
      <c r="D296" s="2">
        <v>74.8</v>
      </c>
      <c r="E296" s="2">
        <v>81</v>
      </c>
      <c r="F296" s="2">
        <v>54</v>
      </c>
      <c r="G296" s="2">
        <v>72.8</v>
      </c>
      <c r="H296" s="2">
        <v>132.1</v>
      </c>
      <c r="I296" s="2">
        <v>160.1</v>
      </c>
      <c r="J296" s="2">
        <v>230.2</v>
      </c>
      <c r="K296" s="2">
        <v>239.1</v>
      </c>
      <c r="L296" s="2">
        <v>316.2</v>
      </c>
      <c r="M296" s="2">
        <v>263.7</v>
      </c>
      <c r="N296" s="2">
        <v>316.6</v>
      </c>
      <c r="O296" s="2">
        <v>412</v>
      </c>
      <c r="P296" s="2">
        <v>560</v>
      </c>
      <c r="Q296" s="2">
        <v>770</v>
      </c>
      <c r="R296" s="2">
        <v>1760</v>
      </c>
      <c r="S296" s="2">
        <v>2244</v>
      </c>
      <c r="T296" s="2">
        <v>2588</v>
      </c>
      <c r="U296" s="2">
        <v>1858</v>
      </c>
      <c r="V296" s="2">
        <v>1035</v>
      </c>
      <c r="W296" s="2">
        <v>882</v>
      </c>
      <c r="X296" s="2">
        <v>1127</v>
      </c>
      <c r="Y296" s="2">
        <v>1183</v>
      </c>
      <c r="Z296" s="2">
        <v>2195</v>
      </c>
      <c r="AA296" s="2">
        <v>1849</v>
      </c>
      <c r="AB296" s="2">
        <v>1100</v>
      </c>
      <c r="AC296" s="2">
        <v>1190</v>
      </c>
      <c r="AD296" s="2">
        <v>1223</v>
      </c>
      <c r="AE296" s="2">
        <v>1128</v>
      </c>
      <c r="AF296" s="2">
        <v>1375</v>
      </c>
      <c r="AG296" s="2">
        <v>2489</v>
      </c>
      <c r="AH296" s="2">
        <v>5531</v>
      </c>
      <c r="AI296" s="2" t="s">
        <v>92</v>
      </c>
      <c r="AJ296" s="2" t="s">
        <v>92</v>
      </c>
      <c r="AK296" s="2" t="s">
        <v>92</v>
      </c>
      <c r="AL296" s="2" t="s">
        <v>92</v>
      </c>
      <c r="AM296" s="2" t="s">
        <v>92</v>
      </c>
      <c r="AN296" s="2" t="s">
        <v>92</v>
      </c>
      <c r="AO296" s="2" t="s">
        <v>92</v>
      </c>
      <c r="AP296" s="2" t="s">
        <v>92</v>
      </c>
    </row>
    <row r="297" spans="1:42" s="2" customFormat="1" ht="12.75">
      <c r="A297" s="4" t="s">
        <v>178</v>
      </c>
      <c r="B297" s="2">
        <v>33</v>
      </c>
      <c r="C297" s="2">
        <v>69.1</v>
      </c>
      <c r="D297" s="2">
        <v>29.4</v>
      </c>
      <c r="E297" s="2">
        <v>20.6</v>
      </c>
      <c r="F297" s="2">
        <v>26.7</v>
      </c>
      <c r="G297" s="2">
        <v>47.7</v>
      </c>
      <c r="H297" s="2">
        <v>55.8</v>
      </c>
      <c r="I297" s="2">
        <v>63.9</v>
      </c>
      <c r="J297" s="2">
        <v>71.5</v>
      </c>
      <c r="K297" s="2">
        <v>103.8</v>
      </c>
      <c r="L297" s="2">
        <v>30.9</v>
      </c>
      <c r="M297" s="2">
        <v>91.2</v>
      </c>
      <c r="N297" s="2">
        <v>132.7</v>
      </c>
      <c r="O297" s="2">
        <v>168</v>
      </c>
      <c r="P297" s="2">
        <v>273</v>
      </c>
      <c r="Q297" s="2">
        <v>465</v>
      </c>
      <c r="R297" s="2">
        <v>1439</v>
      </c>
      <c r="S297" s="2">
        <v>1325</v>
      </c>
      <c r="T297" s="2">
        <v>1227</v>
      </c>
      <c r="U297" s="2">
        <v>942</v>
      </c>
      <c r="V297" s="2">
        <v>690</v>
      </c>
      <c r="W297" s="2">
        <v>708</v>
      </c>
      <c r="X297" s="2">
        <v>787</v>
      </c>
      <c r="Y297" s="2">
        <v>922</v>
      </c>
      <c r="Z297" s="2">
        <v>1926</v>
      </c>
      <c r="AA297" s="2">
        <v>1808</v>
      </c>
      <c r="AB297" s="2">
        <v>1078</v>
      </c>
      <c r="AC297" s="2">
        <v>887</v>
      </c>
      <c r="AD297" s="2">
        <v>954</v>
      </c>
      <c r="AE297" s="2">
        <v>665</v>
      </c>
      <c r="AF297" s="2">
        <v>1421</v>
      </c>
      <c r="AG297" s="2">
        <v>1575</v>
      </c>
      <c r="AH297" s="2">
        <v>3772</v>
      </c>
      <c r="AI297" s="2" t="s">
        <v>92</v>
      </c>
      <c r="AJ297" s="2" t="s">
        <v>92</v>
      </c>
      <c r="AK297" s="2" t="s">
        <v>92</v>
      </c>
      <c r="AL297" s="2" t="s">
        <v>92</v>
      </c>
      <c r="AM297" s="2" t="s">
        <v>92</v>
      </c>
      <c r="AN297" s="2" t="s">
        <v>92</v>
      </c>
      <c r="AO297" s="2" t="s">
        <v>92</v>
      </c>
      <c r="AP297" s="2" t="s">
        <v>92</v>
      </c>
    </row>
    <row r="298" spans="1:42" s="2" customFormat="1" ht="12.75">
      <c r="A298" s="4" t="s">
        <v>181</v>
      </c>
      <c r="B298" s="2">
        <v>19</v>
      </c>
      <c r="C298" s="2">
        <v>13.9</v>
      </c>
      <c r="D298" s="2">
        <v>25.6</v>
      </c>
      <c r="E298" s="2">
        <v>13.3</v>
      </c>
      <c r="F298" s="2">
        <v>23.7</v>
      </c>
      <c r="G298" s="2">
        <v>41.9</v>
      </c>
      <c r="H298" s="2">
        <v>35.1</v>
      </c>
      <c r="I298" s="2">
        <v>36.7</v>
      </c>
      <c r="J298" s="2">
        <v>27.6</v>
      </c>
      <c r="K298" s="2">
        <v>33.4</v>
      </c>
      <c r="L298" s="2">
        <v>40.1</v>
      </c>
      <c r="M298" s="2">
        <v>36.1</v>
      </c>
      <c r="N298" s="2">
        <v>33.6</v>
      </c>
      <c r="O298" s="2">
        <v>62</v>
      </c>
      <c r="P298" s="2">
        <v>73</v>
      </c>
      <c r="Q298" s="2">
        <v>96</v>
      </c>
      <c r="R298" s="2">
        <v>290</v>
      </c>
      <c r="S298" s="2">
        <v>234</v>
      </c>
      <c r="T298" s="2">
        <v>204</v>
      </c>
      <c r="U298" s="2">
        <v>108</v>
      </c>
      <c r="V298" s="2">
        <v>110</v>
      </c>
      <c r="W298" s="2">
        <v>148</v>
      </c>
      <c r="X298" s="2">
        <v>235</v>
      </c>
      <c r="Y298" s="2">
        <v>203</v>
      </c>
      <c r="Z298" s="2">
        <v>231</v>
      </c>
      <c r="AA298" s="2">
        <v>210</v>
      </c>
      <c r="AB298" s="2">
        <v>243</v>
      </c>
      <c r="AC298" s="2">
        <v>122</v>
      </c>
      <c r="AD298" s="2">
        <v>32</v>
      </c>
      <c r="AE298" s="2">
        <v>76</v>
      </c>
      <c r="AF298" s="2">
        <v>119</v>
      </c>
      <c r="AG298" s="2">
        <v>299</v>
      </c>
      <c r="AH298" s="2">
        <v>608</v>
      </c>
      <c r="AI298" s="2" t="s">
        <v>92</v>
      </c>
      <c r="AJ298" s="2" t="s">
        <v>92</v>
      </c>
      <c r="AK298" s="2" t="s">
        <v>92</v>
      </c>
      <c r="AL298" s="2" t="s">
        <v>92</v>
      </c>
      <c r="AM298" s="2" t="s">
        <v>92</v>
      </c>
      <c r="AN298" s="2" t="s">
        <v>92</v>
      </c>
      <c r="AO298" s="2" t="s">
        <v>92</v>
      </c>
      <c r="AP298" s="2" t="s">
        <v>92</v>
      </c>
    </row>
    <row r="299" s="2" customFormat="1" ht="12.75">
      <c r="A299" s="4"/>
    </row>
    <row r="300" spans="1:42" s="12" customFormat="1" ht="12.75">
      <c r="A300" s="16" t="s">
        <v>182</v>
      </c>
      <c r="B300" s="12">
        <v>164.6</v>
      </c>
      <c r="C300" s="12">
        <v>196.6</v>
      </c>
      <c r="D300" s="12">
        <v>156.9</v>
      </c>
      <c r="E300" s="12">
        <v>119.5</v>
      </c>
      <c r="F300" s="12">
        <v>124</v>
      </c>
      <c r="G300" s="12">
        <v>171.9</v>
      </c>
      <c r="H300" s="12">
        <v>157.2</v>
      </c>
      <c r="I300" s="12">
        <v>144.8</v>
      </c>
      <c r="J300" s="12">
        <v>150</v>
      </c>
      <c r="K300" s="12">
        <v>156.4</v>
      </c>
      <c r="L300" s="12">
        <v>168.2</v>
      </c>
      <c r="M300" s="12">
        <v>217.1</v>
      </c>
      <c r="N300" s="12">
        <v>241.7</v>
      </c>
      <c r="O300" s="12">
        <v>332</v>
      </c>
      <c r="P300" s="12">
        <v>557</v>
      </c>
      <c r="Q300" s="12">
        <v>1017</v>
      </c>
      <c r="R300" s="12">
        <v>1995</v>
      </c>
      <c r="S300" s="12">
        <v>2250</v>
      </c>
      <c r="T300" s="12">
        <v>2697</v>
      </c>
      <c r="U300" s="12">
        <v>2114</v>
      </c>
      <c r="V300" s="12">
        <v>2559</v>
      </c>
      <c r="W300" s="12">
        <v>2899</v>
      </c>
      <c r="X300" s="12">
        <v>3141</v>
      </c>
      <c r="Y300" s="12">
        <v>2676</v>
      </c>
      <c r="Z300" s="12">
        <v>2911</v>
      </c>
      <c r="AA300" s="12">
        <v>2317</v>
      </c>
      <c r="AB300" s="12">
        <v>1576</v>
      </c>
      <c r="AC300" s="12">
        <v>1695</v>
      </c>
      <c r="AD300" s="12">
        <v>1662</v>
      </c>
      <c r="AE300" s="12">
        <v>1479</v>
      </c>
      <c r="AF300" s="12">
        <v>2344</v>
      </c>
      <c r="AG300" s="12">
        <v>2505</v>
      </c>
      <c r="AH300" s="12">
        <v>3441</v>
      </c>
      <c r="AI300" s="12">
        <v>3141</v>
      </c>
      <c r="AJ300" s="12">
        <v>2233</v>
      </c>
      <c r="AK300" s="12">
        <v>1476</v>
      </c>
      <c r="AL300" s="12">
        <v>1864</v>
      </c>
      <c r="AM300" s="12">
        <v>2194</v>
      </c>
      <c r="AN300" s="12">
        <v>2007</v>
      </c>
      <c r="AO300" s="12">
        <v>2011</v>
      </c>
      <c r="AP300" s="12">
        <v>1948</v>
      </c>
    </row>
    <row r="301" s="2" customFormat="1" ht="12.75">
      <c r="A301" s="4"/>
    </row>
    <row r="302" spans="1:42" s="12" customFormat="1" ht="12.75">
      <c r="A302" s="9" t="s">
        <v>183</v>
      </c>
      <c r="B302" s="12">
        <v>0</v>
      </c>
      <c r="C302" s="12">
        <v>0</v>
      </c>
      <c r="D302" s="12">
        <v>0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2">
        <v>0</v>
      </c>
      <c r="AD302" s="12">
        <v>0</v>
      </c>
      <c r="AE302" s="12">
        <v>0</v>
      </c>
      <c r="AF302" s="12">
        <v>0</v>
      </c>
      <c r="AG302" s="12">
        <v>0</v>
      </c>
      <c r="AH302" s="12">
        <v>0</v>
      </c>
      <c r="AI302" s="12">
        <v>322</v>
      </c>
      <c r="AJ302" s="12">
        <v>152</v>
      </c>
      <c r="AK302" s="12">
        <v>63</v>
      </c>
      <c r="AL302" s="12">
        <v>65</v>
      </c>
      <c r="AM302" s="12">
        <v>1</v>
      </c>
      <c r="AN302" s="12">
        <v>4</v>
      </c>
      <c r="AO302" s="12">
        <v>0</v>
      </c>
      <c r="AP302" s="12">
        <v>0</v>
      </c>
    </row>
    <row r="303" s="2" customFormat="1" ht="12.75">
      <c r="A303" s="4"/>
    </row>
    <row r="304" spans="1:47" s="12" customFormat="1" ht="15">
      <c r="A304" s="53" t="s">
        <v>184</v>
      </c>
      <c r="B304" s="12">
        <f>B283+B295+B300+B302</f>
        <v>544.2</v>
      </c>
      <c r="C304" s="12">
        <f aca="true" t="shared" si="214" ref="C304:R304">C283+C295+C300+C302</f>
        <v>688.3</v>
      </c>
      <c r="D304" s="12">
        <f t="shared" si="214"/>
        <v>616.6</v>
      </c>
      <c r="E304" s="12">
        <f t="shared" si="214"/>
        <v>547.5999999999999</v>
      </c>
      <c r="F304" s="12">
        <f t="shared" si="214"/>
        <v>513.5</v>
      </c>
      <c r="G304" s="12">
        <f t="shared" si="214"/>
        <v>742.3</v>
      </c>
      <c r="H304" s="12">
        <f t="shared" si="214"/>
        <v>898.4000000000001</v>
      </c>
      <c r="I304" s="12">
        <f t="shared" si="214"/>
        <v>963.7</v>
      </c>
      <c r="J304" s="12">
        <f t="shared" si="214"/>
        <v>1190.3</v>
      </c>
      <c r="K304" s="12">
        <f t="shared" si="214"/>
        <v>1389.2</v>
      </c>
      <c r="L304" s="12">
        <f t="shared" si="214"/>
        <v>1542.7</v>
      </c>
      <c r="M304" s="12">
        <f t="shared" si="214"/>
        <v>1676.6</v>
      </c>
      <c r="N304" s="12">
        <f t="shared" si="214"/>
        <v>2060.9</v>
      </c>
      <c r="O304" s="12">
        <f t="shared" si="214"/>
        <v>2570</v>
      </c>
      <c r="P304" s="12">
        <f t="shared" si="214"/>
        <v>3737</v>
      </c>
      <c r="Q304" s="12">
        <f t="shared" si="214"/>
        <v>6614</v>
      </c>
      <c r="R304" s="12">
        <f t="shared" si="214"/>
        <v>11696</v>
      </c>
      <c r="S304" s="12">
        <f aca="true" t="shared" si="215" ref="S304:AH304">S283+S295+S300+S302</f>
        <v>12766</v>
      </c>
      <c r="T304" s="12">
        <f t="shared" si="215"/>
        <v>14626</v>
      </c>
      <c r="U304" s="12">
        <f t="shared" si="215"/>
        <v>10372</v>
      </c>
      <c r="V304" s="12">
        <f t="shared" si="215"/>
        <v>9695</v>
      </c>
      <c r="W304" s="12">
        <f t="shared" si="215"/>
        <v>10844</v>
      </c>
      <c r="X304" s="12">
        <f t="shared" si="215"/>
        <v>13515</v>
      </c>
      <c r="Y304" s="12">
        <f t="shared" si="215"/>
        <v>11845</v>
      </c>
      <c r="Z304" s="12">
        <f t="shared" si="215"/>
        <v>18103</v>
      </c>
      <c r="AA304" s="12">
        <f t="shared" si="215"/>
        <v>14494</v>
      </c>
      <c r="AB304" s="12">
        <f t="shared" si="215"/>
        <v>11408</v>
      </c>
      <c r="AC304" s="12">
        <f t="shared" si="215"/>
        <v>9355</v>
      </c>
      <c r="AD304" s="12">
        <f t="shared" si="215"/>
        <v>9369</v>
      </c>
      <c r="AE304" s="12">
        <f t="shared" si="215"/>
        <v>8177</v>
      </c>
      <c r="AF304" s="12">
        <f t="shared" si="215"/>
        <v>12807</v>
      </c>
      <c r="AG304" s="12">
        <f t="shared" si="215"/>
        <v>18722</v>
      </c>
      <c r="AH304" s="12">
        <f t="shared" si="215"/>
        <v>29677</v>
      </c>
      <c r="AI304" s="12">
        <f aca="true" t="shared" si="216" ref="AI304:AQ304">AI283+AI295+AI300+AI302</f>
        <v>29870</v>
      </c>
      <c r="AJ304" s="12">
        <f t="shared" si="216"/>
        <v>20037</v>
      </c>
      <c r="AK304" s="12">
        <f t="shared" si="216"/>
        <v>11795</v>
      </c>
      <c r="AL304" s="12">
        <f t="shared" si="216"/>
        <v>12313</v>
      </c>
      <c r="AM304" s="12">
        <f t="shared" si="216"/>
        <v>15117</v>
      </c>
      <c r="AN304" s="12">
        <f t="shared" si="216"/>
        <v>14196</v>
      </c>
      <c r="AO304" s="12">
        <f t="shared" si="216"/>
        <v>14323</v>
      </c>
      <c r="AP304" s="12">
        <f t="shared" si="216"/>
        <v>12683</v>
      </c>
      <c r="AQ304" s="12">
        <f t="shared" si="216"/>
        <v>0</v>
      </c>
      <c r="AR304" s="12">
        <f>AR283+AR295+AR300+AR302</f>
        <v>0</v>
      </c>
      <c r="AS304" s="12">
        <f>AS283+AS295+AS300+AS302</f>
        <v>0</v>
      </c>
      <c r="AT304" s="12">
        <f>AT283+AT295+AT300+AT302</f>
        <v>0</v>
      </c>
      <c r="AU304" s="12">
        <f>AU283+AU295+AU300+AU302</f>
        <v>0</v>
      </c>
    </row>
    <row r="305" spans="1:3" s="2" customFormat="1" ht="12.75">
      <c r="A305" s="4"/>
      <c r="C305"/>
    </row>
    <row r="306" spans="1:42" s="12" customFormat="1" ht="12.75">
      <c r="A306" s="9" t="s">
        <v>185</v>
      </c>
      <c r="B306" s="12" t="s">
        <v>92</v>
      </c>
      <c r="C306" s="12" t="s">
        <v>92</v>
      </c>
      <c r="D306" s="12" t="s">
        <v>92</v>
      </c>
      <c r="E306" s="12" t="s">
        <v>92</v>
      </c>
      <c r="F306" s="12" t="s">
        <v>92</v>
      </c>
      <c r="G306" s="12" t="s">
        <v>92</v>
      </c>
      <c r="H306" s="12" t="s">
        <v>92</v>
      </c>
      <c r="I306" s="12" t="s">
        <v>92</v>
      </c>
      <c r="J306" s="12" t="s">
        <v>92</v>
      </c>
      <c r="K306" s="12" t="s">
        <v>92</v>
      </c>
      <c r="L306" s="12" t="s">
        <v>92</v>
      </c>
      <c r="M306" s="12" t="s">
        <v>92</v>
      </c>
      <c r="N306" s="12" t="s">
        <v>92</v>
      </c>
      <c r="O306" s="12" t="s">
        <v>92</v>
      </c>
      <c r="P306" s="12" t="s">
        <v>92</v>
      </c>
      <c r="Q306" s="12" t="s">
        <v>92</v>
      </c>
      <c r="R306" s="12" t="s">
        <v>92</v>
      </c>
      <c r="S306" s="12" t="s">
        <v>92</v>
      </c>
      <c r="T306" s="12" t="s">
        <v>92</v>
      </c>
      <c r="U306" s="12" t="s">
        <v>92</v>
      </c>
      <c r="V306" s="12" t="s">
        <v>92</v>
      </c>
      <c r="W306" s="12" t="s">
        <v>92</v>
      </c>
      <c r="X306" s="12" t="s">
        <v>92</v>
      </c>
      <c r="Y306" s="12" t="s">
        <v>92</v>
      </c>
      <c r="Z306" s="12" t="s">
        <v>92</v>
      </c>
      <c r="AA306" s="12" t="s">
        <v>92</v>
      </c>
      <c r="AB306" s="12" t="s">
        <v>92</v>
      </c>
      <c r="AC306" s="12" t="s">
        <v>92</v>
      </c>
      <c r="AD306" s="12" t="s">
        <v>92</v>
      </c>
      <c r="AE306" s="12">
        <v>7768</v>
      </c>
      <c r="AF306" s="12">
        <v>11334</v>
      </c>
      <c r="AG306" s="12">
        <v>16382</v>
      </c>
      <c r="AH306" s="12">
        <v>25552</v>
      </c>
      <c r="AI306" s="12">
        <v>23825</v>
      </c>
      <c r="AJ306" s="12">
        <v>19381</v>
      </c>
      <c r="AK306" s="12">
        <v>11570</v>
      </c>
      <c r="AL306" s="12">
        <v>12082</v>
      </c>
      <c r="AM306" s="12">
        <v>14467</v>
      </c>
      <c r="AN306" s="12">
        <v>13633</v>
      </c>
      <c r="AO306" s="12">
        <v>13708</v>
      </c>
      <c r="AP306" s="12">
        <v>11972</v>
      </c>
    </row>
    <row r="307" s="2" customFormat="1" ht="12" customHeight="1">
      <c r="A307" s="4"/>
    </row>
    <row r="308" s="91" customFormat="1" ht="10.5" customHeight="1">
      <c r="A308" s="90"/>
    </row>
    <row r="309" s="2" customFormat="1" ht="12.75">
      <c r="A309" s="26" t="s">
        <v>186</v>
      </c>
    </row>
    <row r="310" s="2" customFormat="1" ht="12.75">
      <c r="A310" s="4"/>
    </row>
    <row r="311" spans="1:47" s="1" customFormat="1" ht="12.75">
      <c r="A311" s="26" t="s">
        <v>187</v>
      </c>
      <c r="B311" s="97">
        <f>B194-B96</f>
        <v>7.999999999999986</v>
      </c>
      <c r="C311" s="97">
        <f aca="true" t="shared" si="217" ref="C311:R311">C194-C96</f>
        <v>5.900000000000006</v>
      </c>
      <c r="D311" s="97">
        <f t="shared" si="217"/>
        <v>39.39999999999999</v>
      </c>
      <c r="E311" s="97">
        <f t="shared" si="217"/>
        <v>32.599999999999994</v>
      </c>
      <c r="F311" s="97">
        <f t="shared" si="217"/>
        <v>31.30000000000001</v>
      </c>
      <c r="G311" s="97">
        <f t="shared" si="217"/>
        <v>64.3</v>
      </c>
      <c r="H311" s="97">
        <f t="shared" si="217"/>
        <v>48.79999999999998</v>
      </c>
      <c r="I311" s="97">
        <f t="shared" si="217"/>
        <v>13.699999999999989</v>
      </c>
      <c r="J311" s="97">
        <f t="shared" si="217"/>
        <v>-15.699999999999989</v>
      </c>
      <c r="K311" s="1">
        <f t="shared" si="217"/>
        <v>-0.0999999999999659</v>
      </c>
      <c r="L311" s="1">
        <f t="shared" si="217"/>
        <v>0.6999999999999602</v>
      </c>
      <c r="M311" s="97">
        <f t="shared" si="217"/>
        <v>-13.400000000000034</v>
      </c>
      <c r="N311" s="97">
        <f t="shared" si="217"/>
        <v>-44.400000000000034</v>
      </c>
      <c r="O311" s="97">
        <f t="shared" si="217"/>
        <v>-72.19999999999999</v>
      </c>
      <c r="P311" s="1">
        <f t="shared" si="217"/>
        <v>-0.2999999999999545</v>
      </c>
      <c r="Q311" s="1">
        <f t="shared" si="217"/>
        <v>-0.5</v>
      </c>
      <c r="R311" s="1">
        <f t="shared" si="217"/>
        <v>0.20000000000004547</v>
      </c>
      <c r="S311" s="1">
        <f aca="true" t="shared" si="218" ref="S311:AH311">S194-S96</f>
        <v>-0.10000000000002274</v>
      </c>
      <c r="T311" s="97">
        <f t="shared" si="218"/>
        <v>102.20000000000005</v>
      </c>
      <c r="U311" s="1">
        <f t="shared" si="218"/>
        <v>-0.20000000000004547</v>
      </c>
      <c r="V311" s="1">
        <f t="shared" si="218"/>
        <v>-0.20000000000004547</v>
      </c>
      <c r="W311" s="1">
        <f t="shared" si="218"/>
        <v>0.1999999999999318</v>
      </c>
      <c r="X311" s="57">
        <f t="shared" si="218"/>
        <v>-0.5</v>
      </c>
      <c r="Y311" s="57">
        <f t="shared" si="218"/>
        <v>-0.2999999999999545</v>
      </c>
      <c r="Z311" s="57">
        <f t="shared" si="218"/>
        <v>-0.3999999999999204</v>
      </c>
      <c r="AA311" s="57">
        <f t="shared" si="218"/>
        <v>0.20000000000004547</v>
      </c>
      <c r="AB311" s="57">
        <f t="shared" si="218"/>
        <v>0</v>
      </c>
      <c r="AC311" s="57">
        <f t="shared" si="218"/>
        <v>-0.4999999999997726</v>
      </c>
      <c r="AD311" s="57">
        <f t="shared" si="218"/>
        <v>-0.20000000000004547</v>
      </c>
      <c r="AE311" s="57">
        <f t="shared" si="218"/>
        <v>-0.20000000000004547</v>
      </c>
      <c r="AF311" s="57">
        <f t="shared" si="218"/>
        <v>-0.10000000000013642</v>
      </c>
      <c r="AG311" s="57">
        <f t="shared" si="218"/>
        <v>0.20000000000004547</v>
      </c>
      <c r="AH311" s="57">
        <f t="shared" si="218"/>
        <v>-0.3000000000001819</v>
      </c>
      <c r="AI311" s="57">
        <f aca="true" t="shared" si="219" ref="AI311:AQ311">AI194-AI96</f>
        <v>-0.30000000000063665</v>
      </c>
      <c r="AJ311" s="57">
        <f t="shared" si="219"/>
        <v>-0.1999999999998181</v>
      </c>
      <c r="AK311" s="97">
        <f t="shared" si="219"/>
        <v>-6.5</v>
      </c>
      <c r="AL311" s="1">
        <f t="shared" si="219"/>
        <v>-6.300000000000182</v>
      </c>
      <c r="AM311" s="1">
        <f t="shared" si="219"/>
        <v>-14.300000000000182</v>
      </c>
      <c r="AN311" s="1">
        <f t="shared" si="219"/>
        <v>-34.40000000000009</v>
      </c>
      <c r="AO311" s="1">
        <f t="shared" si="219"/>
        <v>-171.69999999999982</v>
      </c>
      <c r="AP311" s="1">
        <f t="shared" si="219"/>
        <v>-579.0000000000005</v>
      </c>
      <c r="AQ311" s="1">
        <f t="shared" si="219"/>
        <v>-264.1999999999998</v>
      </c>
      <c r="AR311" s="1">
        <f>AR194-AR96</f>
        <v>-861.6000000000004</v>
      </c>
      <c r="AS311" s="1">
        <f>AS194-AS96</f>
        <v>-2491.2</v>
      </c>
      <c r="AT311" s="1">
        <f>AT194-AT96</f>
        <v>-3462.3999999999996</v>
      </c>
      <c r="AU311" s="1">
        <f>AU194-AU96</f>
        <v>0</v>
      </c>
    </row>
    <row r="312" spans="1:20" s="2" customFormat="1" ht="12.75">
      <c r="A312" s="4"/>
      <c r="B312" s="100"/>
      <c r="C312" s="100"/>
      <c r="D312" s="100"/>
      <c r="E312" s="100"/>
      <c r="F312" s="100"/>
      <c r="G312" s="100"/>
      <c r="H312" s="100"/>
      <c r="I312" s="100"/>
      <c r="J312" s="100"/>
      <c r="M312" s="100"/>
      <c r="N312" s="100"/>
      <c r="O312" s="100"/>
      <c r="T312" s="100"/>
    </row>
    <row r="313" spans="1:47" s="1" customFormat="1" ht="12.75">
      <c r="A313" s="26" t="s">
        <v>188</v>
      </c>
      <c r="B313" s="97">
        <f aca="true" t="shared" si="220" ref="B313:Q313">B221-B96</f>
        <v>7.97999999999999</v>
      </c>
      <c r="C313" s="97">
        <f t="shared" si="220"/>
        <v>5.865000000000009</v>
      </c>
      <c r="D313" s="97">
        <f t="shared" si="220"/>
        <v>39.41300000000001</v>
      </c>
      <c r="E313" s="97">
        <f t="shared" si="220"/>
        <v>32.605000000000004</v>
      </c>
      <c r="F313" s="97">
        <f t="shared" si="220"/>
        <v>31.320999999999998</v>
      </c>
      <c r="G313" s="97">
        <f t="shared" si="220"/>
        <v>64.33400000000002</v>
      </c>
      <c r="H313" s="97">
        <f t="shared" si="220"/>
        <v>48.781000000000006</v>
      </c>
      <c r="I313" s="97">
        <f t="shared" si="220"/>
        <v>13.733000000000004</v>
      </c>
      <c r="J313" s="97">
        <f t="shared" si="220"/>
        <v>-15.732000000000028</v>
      </c>
      <c r="K313" s="1">
        <f t="shared" si="220"/>
        <v>-0.09300000000001774</v>
      </c>
      <c r="L313" s="1">
        <f t="shared" si="220"/>
        <v>0.700999999999965</v>
      </c>
      <c r="M313" s="97">
        <f t="shared" si="220"/>
        <v>-13.370999999999981</v>
      </c>
      <c r="N313" s="97">
        <f t="shared" si="220"/>
        <v>-44.34699999999998</v>
      </c>
      <c r="O313" s="97">
        <f t="shared" si="220"/>
        <v>-72.233</v>
      </c>
      <c r="P313" s="1">
        <f t="shared" si="220"/>
        <v>-0.3209999999999127</v>
      </c>
      <c r="Q313" s="1">
        <f t="shared" si="220"/>
        <v>-0.5499999999999545</v>
      </c>
      <c r="R313" s="1">
        <f aca="true" t="shared" si="221" ref="R313:AG313">R221-R96</f>
        <v>0.24700000000007094</v>
      </c>
      <c r="S313" s="1">
        <f t="shared" si="221"/>
        <v>-0.1430000000000291</v>
      </c>
      <c r="T313" s="97">
        <f t="shared" si="221"/>
        <v>102.22000000000003</v>
      </c>
      <c r="U313" s="1">
        <f t="shared" si="221"/>
        <v>-0.19600000000002638</v>
      </c>
      <c r="V313" s="1">
        <f t="shared" si="221"/>
        <v>-0.21699999999998454</v>
      </c>
      <c r="W313" s="1">
        <f t="shared" si="221"/>
        <v>0.15699999999992542</v>
      </c>
      <c r="X313" s="1">
        <f t="shared" si="221"/>
        <v>-0.47399999999998954</v>
      </c>
      <c r="Y313" s="1">
        <f t="shared" si="221"/>
        <v>-0.26200000000000045</v>
      </c>
      <c r="Z313" s="1">
        <f t="shared" si="221"/>
        <v>-0.4089999999999918</v>
      </c>
      <c r="AA313" s="1">
        <f t="shared" si="221"/>
        <v>0.1279999999999859</v>
      </c>
      <c r="AB313" s="1">
        <f t="shared" si="221"/>
        <v>-0.04800000000000182</v>
      </c>
      <c r="AC313" s="1">
        <f t="shared" si="221"/>
        <v>-0.4980000000000473</v>
      </c>
      <c r="AD313" s="1">
        <f t="shared" si="221"/>
        <v>-0.21199999999998909</v>
      </c>
      <c r="AE313" s="1">
        <f t="shared" si="221"/>
        <v>-0.18599999999992178</v>
      </c>
      <c r="AF313" s="1">
        <f t="shared" si="221"/>
        <v>-0.1089999999999236</v>
      </c>
      <c r="AG313" s="1">
        <f t="shared" si="221"/>
        <v>0.17300000000000182</v>
      </c>
      <c r="AH313" s="1">
        <f aca="true" t="shared" si="222" ref="AH313:AQ313">AH221-AH96</f>
        <v>-0.29899999999997817</v>
      </c>
      <c r="AI313" s="1">
        <f t="shared" si="222"/>
        <v>-0.318000000000211</v>
      </c>
      <c r="AJ313" s="1">
        <f t="shared" si="222"/>
        <v>-0.19900000000052387</v>
      </c>
      <c r="AK313" s="57">
        <f t="shared" si="222"/>
        <v>-6.451000000000022</v>
      </c>
      <c r="AL313" s="1">
        <f t="shared" si="222"/>
        <v>-6.3279999999999745</v>
      </c>
      <c r="AM313" s="1">
        <f t="shared" si="222"/>
        <v>-14.291999999999916</v>
      </c>
      <c r="AN313" s="1">
        <f t="shared" si="222"/>
        <v>-34.4079999999999</v>
      </c>
      <c r="AO313" s="1">
        <f t="shared" si="222"/>
        <v>-171.5999999999999</v>
      </c>
      <c r="AP313" s="1">
        <f t="shared" si="222"/>
        <v>-579</v>
      </c>
      <c r="AQ313" s="1">
        <f t="shared" si="222"/>
        <v>-418.3000000000002</v>
      </c>
      <c r="AR313" s="1">
        <f>AR221-AR96</f>
        <v>-341.10000000000036</v>
      </c>
      <c r="AS313" s="1">
        <f>AS221-AS96</f>
        <v>-5271</v>
      </c>
      <c r="AT313" s="1">
        <f>AT221-AT96</f>
        <v>-6755</v>
      </c>
      <c r="AU313" s="1">
        <f>AU221-AU96</f>
        <v>0</v>
      </c>
    </row>
    <row r="314" s="2" customFormat="1" ht="12.75">
      <c r="A314" s="4"/>
    </row>
    <row r="315" spans="1:47" s="1" customFormat="1" ht="12.75">
      <c r="A315" s="26" t="s">
        <v>189</v>
      </c>
      <c r="B315" s="97">
        <f>B276-B97</f>
        <v>24.200000000000045</v>
      </c>
      <c r="C315" s="97">
        <f aca="true" t="shared" si="223" ref="C315:R315">C276-C97</f>
        <v>183</v>
      </c>
      <c r="D315" s="97">
        <f t="shared" si="223"/>
        <v>126</v>
      </c>
      <c r="E315" s="97">
        <f t="shared" si="223"/>
        <v>108.30000000000001</v>
      </c>
      <c r="F315" s="97">
        <f t="shared" si="223"/>
        <v>69.60000000000002</v>
      </c>
      <c r="G315" s="97">
        <f t="shared" si="223"/>
        <v>99.30000000000007</v>
      </c>
      <c r="H315" s="97">
        <f t="shared" si="223"/>
        <v>106.89999999999986</v>
      </c>
      <c r="I315" s="97">
        <f t="shared" si="223"/>
        <v>10.800000000000068</v>
      </c>
      <c r="J315" s="97">
        <f t="shared" si="223"/>
        <v>-16.700000000000273</v>
      </c>
      <c r="K315" s="97">
        <f t="shared" si="223"/>
        <v>-126.80000000000041</v>
      </c>
      <c r="L315" s="97">
        <f t="shared" si="223"/>
        <v>-196.29999999999973</v>
      </c>
      <c r="M315" s="97">
        <f t="shared" si="223"/>
        <v>-246</v>
      </c>
      <c r="N315" s="97">
        <f t="shared" si="223"/>
        <v>-424</v>
      </c>
      <c r="O315" s="97">
        <f t="shared" si="223"/>
        <v>-594</v>
      </c>
      <c r="P315" s="98">
        <f t="shared" si="223"/>
        <v>-1051</v>
      </c>
      <c r="Q315" s="98">
        <f t="shared" si="223"/>
        <v>-2685</v>
      </c>
      <c r="R315" s="98">
        <f t="shared" si="223"/>
        <v>-3666</v>
      </c>
      <c r="S315" s="98">
        <f aca="true" t="shared" si="224" ref="S315:AH315">S276-S97</f>
        <v>-3580</v>
      </c>
      <c r="T315" s="98">
        <f t="shared" si="224"/>
        <v>-3768</v>
      </c>
      <c r="U315" s="98">
        <f t="shared" si="224"/>
        <v>-3500</v>
      </c>
      <c r="V315" s="98">
        <f t="shared" si="224"/>
        <v>-325</v>
      </c>
      <c r="W315" s="98">
        <f t="shared" si="224"/>
        <v>-2597</v>
      </c>
      <c r="X315" s="98">
        <f t="shared" si="224"/>
        <v>-2000</v>
      </c>
      <c r="Y315" s="98">
        <f t="shared" si="224"/>
        <v>-2500</v>
      </c>
      <c r="Z315" s="98">
        <f t="shared" si="224"/>
        <v>-2500</v>
      </c>
      <c r="AA315" s="1">
        <f t="shared" si="224"/>
        <v>0</v>
      </c>
      <c r="AB315" s="98">
        <f t="shared" si="224"/>
        <v>-2313</v>
      </c>
      <c r="AC315" s="98">
        <f t="shared" si="224"/>
        <v>-2472</v>
      </c>
      <c r="AD315" s="98">
        <f t="shared" si="224"/>
        <v>-3867</v>
      </c>
      <c r="AE315" s="98">
        <f t="shared" si="224"/>
        <v>-2431</v>
      </c>
      <c r="AF315" s="98">
        <f t="shared" si="224"/>
        <v>-641</v>
      </c>
      <c r="AG315" s="98">
        <f t="shared" si="224"/>
        <v>392</v>
      </c>
      <c r="AH315" s="98">
        <f t="shared" si="224"/>
        <v>4487</v>
      </c>
      <c r="AI315" s="98">
        <f aca="true" t="shared" si="225" ref="AI315:AQ315">AI276-AI97</f>
        <v>6596</v>
      </c>
      <c r="AJ315" s="98">
        <f t="shared" si="225"/>
        <v>750</v>
      </c>
      <c r="AK315" s="57">
        <f t="shared" si="225"/>
        <v>-822</v>
      </c>
      <c r="AL315" s="1">
        <f t="shared" si="225"/>
        <v>-461</v>
      </c>
      <c r="AM315" s="1">
        <f t="shared" si="225"/>
        <v>128</v>
      </c>
      <c r="AN315" s="1">
        <f t="shared" si="225"/>
        <v>73</v>
      </c>
      <c r="AO315" s="1">
        <f t="shared" si="225"/>
        <v>37</v>
      </c>
      <c r="AP315" s="1">
        <f t="shared" si="225"/>
        <v>-800</v>
      </c>
      <c r="AQ315" s="1">
        <f t="shared" si="225"/>
        <v>-15086</v>
      </c>
      <c r="AR315" s="1">
        <f>AR276-AR97</f>
        <v>-18129</v>
      </c>
      <c r="AS315" s="1">
        <f>AS276-AS97</f>
        <v>-22036</v>
      </c>
      <c r="AT315" s="1">
        <f>AT276-AT97</f>
        <v>-28795</v>
      </c>
      <c r="AU315" s="1">
        <f>AU276-AU97</f>
        <v>0</v>
      </c>
    </row>
    <row r="316" spans="1:37" s="2" customFormat="1" ht="12.75">
      <c r="A316" s="4"/>
      <c r="B316" s="100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B316" s="99"/>
      <c r="AC316" s="99"/>
      <c r="AD316" s="99"/>
      <c r="AE316" s="99"/>
      <c r="AF316" s="99"/>
      <c r="AG316" s="99"/>
      <c r="AH316" s="99"/>
      <c r="AI316" s="99"/>
      <c r="AJ316" s="99"/>
      <c r="AK316" s="5"/>
    </row>
    <row r="317" spans="1:47" s="1" customFormat="1" ht="12.75">
      <c r="A317" s="26" t="s">
        <v>190</v>
      </c>
      <c r="B317" s="97">
        <f>B304-B97</f>
        <v>24.200000000000045</v>
      </c>
      <c r="C317" s="97">
        <f aca="true" t="shared" si="226" ref="C317:R317">C304-C97</f>
        <v>183</v>
      </c>
      <c r="D317" s="97">
        <f t="shared" si="226"/>
        <v>126</v>
      </c>
      <c r="E317" s="97">
        <f t="shared" si="226"/>
        <v>108.2999999999999</v>
      </c>
      <c r="F317" s="97">
        <f t="shared" si="226"/>
        <v>69.60000000000002</v>
      </c>
      <c r="G317" s="97">
        <f t="shared" si="226"/>
        <v>99.29999999999995</v>
      </c>
      <c r="H317" s="97">
        <f t="shared" si="226"/>
        <v>106.80000000000007</v>
      </c>
      <c r="I317" s="97">
        <f t="shared" si="226"/>
        <v>10.800000000000068</v>
      </c>
      <c r="J317" s="97">
        <f t="shared" si="226"/>
        <v>-16.700000000000045</v>
      </c>
      <c r="K317" s="97">
        <f t="shared" si="226"/>
        <v>-126.79999999999995</v>
      </c>
      <c r="L317" s="97">
        <f t="shared" si="226"/>
        <v>-196.29999999999995</v>
      </c>
      <c r="M317" s="97">
        <f t="shared" si="226"/>
        <v>-246.4000000000001</v>
      </c>
      <c r="N317" s="97">
        <f t="shared" si="226"/>
        <v>-424.0999999999999</v>
      </c>
      <c r="O317" s="97">
        <f t="shared" si="226"/>
        <v>-594</v>
      </c>
      <c r="P317" s="98">
        <f t="shared" si="226"/>
        <v>-1051</v>
      </c>
      <c r="Q317" s="98">
        <f t="shared" si="226"/>
        <v>-2685</v>
      </c>
      <c r="R317" s="98">
        <f t="shared" si="226"/>
        <v>-3666</v>
      </c>
      <c r="S317" s="98">
        <f aca="true" t="shared" si="227" ref="S317:AH317">S304-S97</f>
        <v>-3580</v>
      </c>
      <c r="T317" s="98">
        <f t="shared" si="227"/>
        <v>-3768</v>
      </c>
      <c r="U317" s="98">
        <f t="shared" si="227"/>
        <v>-3500</v>
      </c>
      <c r="V317" s="98">
        <f t="shared" si="227"/>
        <v>-325</v>
      </c>
      <c r="W317" s="98">
        <f t="shared" si="227"/>
        <v>-2597</v>
      </c>
      <c r="X317" s="98">
        <f t="shared" si="227"/>
        <v>-2000</v>
      </c>
      <c r="Y317" s="98">
        <f t="shared" si="227"/>
        <v>-2500</v>
      </c>
      <c r="Z317" s="98">
        <f t="shared" si="227"/>
        <v>-2500</v>
      </c>
      <c r="AA317" s="1">
        <f t="shared" si="227"/>
        <v>0</v>
      </c>
      <c r="AB317" s="98">
        <f t="shared" si="227"/>
        <v>-2313</v>
      </c>
      <c r="AC317" s="98">
        <f t="shared" si="227"/>
        <v>-2472</v>
      </c>
      <c r="AD317" s="98">
        <f t="shared" si="227"/>
        <v>-3867</v>
      </c>
      <c r="AE317" s="98">
        <f t="shared" si="227"/>
        <v>-2431</v>
      </c>
      <c r="AF317" s="98">
        <f t="shared" si="227"/>
        <v>-641</v>
      </c>
      <c r="AG317" s="98">
        <f t="shared" si="227"/>
        <v>392</v>
      </c>
      <c r="AH317" s="98">
        <f t="shared" si="227"/>
        <v>4487</v>
      </c>
      <c r="AI317" s="98">
        <f>AI304-AI97</f>
        <v>6596</v>
      </c>
      <c r="AJ317" s="98">
        <f>AJ304-AJ97</f>
        <v>750</v>
      </c>
      <c r="AK317" s="57">
        <f>AK304-AK97</f>
        <v>-822</v>
      </c>
      <c r="AL317" s="57">
        <f>AL304-AL97</f>
        <v>-461</v>
      </c>
      <c r="AM317" s="1">
        <f aca="true" t="shared" si="228" ref="AM317:AS317">AM306-AM97</f>
        <v>-522</v>
      </c>
      <c r="AN317" s="1">
        <f t="shared" si="228"/>
        <v>-490</v>
      </c>
      <c r="AO317" s="1">
        <f t="shared" si="228"/>
        <v>-578</v>
      </c>
      <c r="AP317" s="1">
        <f t="shared" si="228"/>
        <v>-1461</v>
      </c>
      <c r="AQ317" s="1">
        <f t="shared" si="228"/>
        <v>-15086</v>
      </c>
      <c r="AR317" s="1">
        <f t="shared" si="228"/>
        <v>-18129</v>
      </c>
      <c r="AS317" s="1">
        <f t="shared" si="228"/>
        <v>-22036</v>
      </c>
      <c r="AT317" s="1">
        <f>AT306-AT97</f>
        <v>-28795</v>
      </c>
      <c r="AU317" s="1">
        <f>AU306-AU97</f>
        <v>0</v>
      </c>
    </row>
    <row r="318" spans="1:37" s="1" customFormat="1" ht="12.75">
      <c r="A318" s="26"/>
      <c r="P318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B318" s="56"/>
      <c r="AC318" s="56"/>
      <c r="AD318" s="56"/>
      <c r="AE318" s="56"/>
      <c r="AF318" s="56"/>
      <c r="AG318" s="56"/>
      <c r="AH318" s="56"/>
      <c r="AI318" s="56"/>
      <c r="AJ318" s="56"/>
      <c r="AK318" s="56"/>
    </row>
    <row r="319" spans="1:47" s="1" customFormat="1" ht="12.75">
      <c r="A319" s="26" t="s">
        <v>191</v>
      </c>
      <c r="B319" s="1">
        <f aca="true" t="shared" si="229" ref="B319:Q319">B194-B221</f>
        <v>0.01999999999999602</v>
      </c>
      <c r="C319" s="1">
        <f t="shared" si="229"/>
        <v>0.03499999999999659</v>
      </c>
      <c r="D319" s="1">
        <f t="shared" si="229"/>
        <v>-0.01300000000001944</v>
      </c>
      <c r="E319" s="1">
        <f t="shared" si="229"/>
        <v>-0.005000000000009663</v>
      </c>
      <c r="F319" s="1">
        <f t="shared" si="229"/>
        <v>-0.020999999999986585</v>
      </c>
      <c r="G319" s="1">
        <f t="shared" si="229"/>
        <v>-0.034000000000020236</v>
      </c>
      <c r="H319" s="1">
        <f t="shared" si="229"/>
        <v>0.018999999999977035</v>
      </c>
      <c r="I319" s="1">
        <f t="shared" si="229"/>
        <v>-0.03300000000001546</v>
      </c>
      <c r="J319" s="1">
        <f t="shared" si="229"/>
        <v>0.03200000000003911</v>
      </c>
      <c r="K319" s="1">
        <f t="shared" si="229"/>
        <v>-0.006999999999948159</v>
      </c>
      <c r="L319" s="1">
        <f t="shared" si="229"/>
        <v>-0.0010000000000047748</v>
      </c>
      <c r="M319" s="1">
        <f t="shared" si="229"/>
        <v>-0.029000000000053205</v>
      </c>
      <c r="N319" s="1">
        <f t="shared" si="229"/>
        <v>-0.053000000000054115</v>
      </c>
      <c r="O319" s="1">
        <f t="shared" si="229"/>
        <v>0.03300000000001546</v>
      </c>
      <c r="P319" s="1">
        <f>P194-P221</f>
        <v>0.020999999999958163</v>
      </c>
      <c r="Q319" s="57">
        <f t="shared" si="229"/>
        <v>0.049999999999954525</v>
      </c>
      <c r="R319" s="1">
        <f aca="true" t="shared" si="230" ref="R319:AG319">R194-R221</f>
        <v>-0.047000000000025466</v>
      </c>
      <c r="S319" s="1">
        <f t="shared" si="230"/>
        <v>0.043000000000006366</v>
      </c>
      <c r="T319" s="1">
        <f t="shared" si="230"/>
        <v>-0.01999999999998181</v>
      </c>
      <c r="U319" s="1">
        <f t="shared" si="230"/>
        <v>-0.004000000000019099</v>
      </c>
      <c r="V319" s="1">
        <f t="shared" si="230"/>
        <v>0.016999999999939064</v>
      </c>
      <c r="W319" s="1">
        <f t="shared" si="230"/>
        <v>0.043000000000006366</v>
      </c>
      <c r="X319" s="57">
        <f t="shared" si="230"/>
        <v>-0.02600000000001046</v>
      </c>
      <c r="Y319" s="57">
        <f t="shared" si="230"/>
        <v>-0.03799999999995407</v>
      </c>
      <c r="Z319" s="57">
        <f t="shared" si="230"/>
        <v>0.009000000000071395</v>
      </c>
      <c r="AA319" s="57">
        <f t="shared" si="230"/>
        <v>0.07200000000005957</v>
      </c>
      <c r="AB319" s="57">
        <f t="shared" si="230"/>
        <v>0.04800000000005866</v>
      </c>
      <c r="AC319" s="57">
        <f t="shared" si="230"/>
        <v>-0.0019999999997253326</v>
      </c>
      <c r="AD319" s="57">
        <f t="shared" si="230"/>
        <v>0.011999999999943611</v>
      </c>
      <c r="AE319" s="57">
        <f t="shared" si="230"/>
        <v>-0.014000000000123691</v>
      </c>
      <c r="AF319" s="57">
        <f t="shared" si="230"/>
        <v>0.008999999999787178</v>
      </c>
      <c r="AG319" s="57">
        <f t="shared" si="230"/>
        <v>0.027000000000043656</v>
      </c>
      <c r="AH319" s="57">
        <f aca="true" t="shared" si="231" ref="AH319:AS319">AH194-AH221</f>
        <v>-0.0010000000002037268</v>
      </c>
      <c r="AI319" s="57">
        <f t="shared" si="231"/>
        <v>0.017999999999574356</v>
      </c>
      <c r="AJ319" s="57">
        <f t="shared" si="231"/>
        <v>-0.0009999999992942321</v>
      </c>
      <c r="AK319" s="57">
        <f t="shared" si="231"/>
        <v>-0.04899999999997817</v>
      </c>
      <c r="AL319" s="1">
        <f t="shared" si="231"/>
        <v>0.027999999999792635</v>
      </c>
      <c r="AM319" s="1">
        <f t="shared" si="231"/>
        <v>-0.008000000000265572</v>
      </c>
      <c r="AN319" s="1">
        <f t="shared" si="231"/>
        <v>0.007999999999810825</v>
      </c>
      <c r="AO319" s="1">
        <f t="shared" si="231"/>
        <v>-0.09999999999990905</v>
      </c>
      <c r="AP319" s="1">
        <f t="shared" si="231"/>
        <v>0</v>
      </c>
      <c r="AQ319" s="1">
        <f t="shared" si="231"/>
        <v>154.10000000000036</v>
      </c>
      <c r="AR319" s="1">
        <f t="shared" si="231"/>
        <v>-520.5</v>
      </c>
      <c r="AS319" s="1">
        <f t="shared" si="231"/>
        <v>2779.8</v>
      </c>
      <c r="AT319" s="1">
        <f>AT194-AT221</f>
        <v>3292.6000000000004</v>
      </c>
      <c r="AU319" s="1">
        <f>AU194-AU221</f>
        <v>0</v>
      </c>
    </row>
    <row r="320" s="2" customFormat="1" ht="12.75"/>
    <row r="321" spans="1:47" s="1" customFormat="1" ht="12.75">
      <c r="A321" s="26" t="s">
        <v>192</v>
      </c>
      <c r="B321" s="1">
        <f aca="true" t="shared" si="232" ref="B321:Q321">B276-B304</f>
        <v>0</v>
      </c>
      <c r="C321" s="57">
        <f t="shared" si="232"/>
        <v>0</v>
      </c>
      <c r="D321" s="1">
        <f t="shared" si="232"/>
        <v>0</v>
      </c>
      <c r="E321" s="1">
        <f t="shared" si="232"/>
        <v>0</v>
      </c>
      <c r="F321" s="1">
        <f t="shared" si="232"/>
        <v>0</v>
      </c>
      <c r="G321" s="1">
        <f t="shared" si="232"/>
        <v>0</v>
      </c>
      <c r="H321" s="57">
        <f t="shared" si="232"/>
        <v>0.09999999999979536</v>
      </c>
      <c r="I321" s="1">
        <f t="shared" si="232"/>
        <v>0</v>
      </c>
      <c r="J321" s="1">
        <f t="shared" si="232"/>
        <v>0</v>
      </c>
      <c r="K321" s="1">
        <f t="shared" si="232"/>
        <v>0</v>
      </c>
      <c r="L321" s="57">
        <f t="shared" si="232"/>
        <v>0</v>
      </c>
      <c r="M321" s="1">
        <f t="shared" si="232"/>
        <v>0.40000000000009095</v>
      </c>
      <c r="N321" s="1">
        <f t="shared" si="232"/>
        <v>0.09999999999990905</v>
      </c>
      <c r="O321" s="1">
        <f t="shared" si="232"/>
        <v>0</v>
      </c>
      <c r="P321" s="1">
        <f t="shared" si="232"/>
        <v>0</v>
      </c>
      <c r="Q321" s="57">
        <f t="shared" si="232"/>
        <v>0</v>
      </c>
      <c r="R321" s="1">
        <f aca="true" t="shared" si="233" ref="R321:AG321">R276-R304</f>
        <v>0</v>
      </c>
      <c r="S321" s="1">
        <f t="shared" si="233"/>
        <v>0</v>
      </c>
      <c r="T321" s="1">
        <f t="shared" si="233"/>
        <v>0</v>
      </c>
      <c r="U321" s="57">
        <f t="shared" si="233"/>
        <v>0</v>
      </c>
      <c r="V321" s="1">
        <f t="shared" si="233"/>
        <v>0</v>
      </c>
      <c r="W321" s="57">
        <f t="shared" si="233"/>
        <v>0</v>
      </c>
      <c r="X321" s="57">
        <f t="shared" si="233"/>
        <v>0</v>
      </c>
      <c r="Y321" s="1">
        <f t="shared" si="233"/>
        <v>0</v>
      </c>
      <c r="Z321" s="1">
        <f t="shared" si="233"/>
        <v>0</v>
      </c>
      <c r="AA321" s="1">
        <f t="shared" si="233"/>
        <v>0</v>
      </c>
      <c r="AB321" s="1">
        <f t="shared" si="233"/>
        <v>0</v>
      </c>
      <c r="AC321" s="1">
        <f t="shared" si="233"/>
        <v>0</v>
      </c>
      <c r="AD321" s="1">
        <f t="shared" si="233"/>
        <v>0</v>
      </c>
      <c r="AE321" s="1">
        <f t="shared" si="233"/>
        <v>0</v>
      </c>
      <c r="AF321" s="1">
        <f t="shared" si="233"/>
        <v>0</v>
      </c>
      <c r="AG321" s="57">
        <f t="shared" si="233"/>
        <v>0</v>
      </c>
      <c r="AH321" s="57">
        <f aca="true" t="shared" si="234" ref="AH321:AS321">AH276-AH304</f>
        <v>0</v>
      </c>
      <c r="AI321" s="1">
        <f t="shared" si="234"/>
        <v>0</v>
      </c>
      <c r="AJ321" s="1">
        <f t="shared" si="234"/>
        <v>0</v>
      </c>
      <c r="AK321" s="1">
        <f t="shared" si="234"/>
        <v>0</v>
      </c>
      <c r="AL321" s="1">
        <f t="shared" si="234"/>
        <v>0</v>
      </c>
      <c r="AM321" s="1">
        <f t="shared" si="234"/>
        <v>0</v>
      </c>
      <c r="AN321" s="1">
        <f t="shared" si="234"/>
        <v>0</v>
      </c>
      <c r="AO321" s="1">
        <f t="shared" si="234"/>
        <v>0</v>
      </c>
      <c r="AP321" s="1">
        <f t="shared" si="234"/>
        <v>-50</v>
      </c>
      <c r="AQ321" s="1">
        <f t="shared" si="234"/>
        <v>0</v>
      </c>
      <c r="AR321" s="1">
        <f t="shared" si="234"/>
        <v>0</v>
      </c>
      <c r="AS321" s="1">
        <f t="shared" si="234"/>
        <v>0</v>
      </c>
      <c r="AT321" s="1">
        <f>AT276-AT304</f>
        <v>0</v>
      </c>
      <c r="AU321" s="1">
        <f>AU276-AU304</f>
        <v>0</v>
      </c>
    </row>
    <row r="322" spans="39:47" s="2" customFormat="1" ht="12.75">
      <c r="AM322"/>
      <c r="AN322"/>
      <c r="AO322"/>
      <c r="AP322"/>
      <c r="AQ322"/>
      <c r="AR322"/>
      <c r="AS322"/>
      <c r="AT322"/>
      <c r="AU322"/>
    </row>
    <row r="323" spans="1:47" s="91" customFormat="1" ht="10.5" customHeight="1">
      <c r="A323" s="90"/>
      <c r="AM323" s="92"/>
      <c r="AN323" s="92"/>
      <c r="AO323" s="92"/>
      <c r="AP323" s="92"/>
      <c r="AQ323" s="92"/>
      <c r="AR323" s="92"/>
      <c r="AS323" s="92"/>
      <c r="AT323" s="92"/>
      <c r="AU323" s="92"/>
    </row>
    <row r="324" s="2" customFormat="1" ht="12.75">
      <c r="K324"/>
    </row>
    <row r="325" s="2" customFormat="1" ht="12.75">
      <c r="A325" s="168" t="s">
        <v>193</v>
      </c>
    </row>
    <row r="326" s="2" customFormat="1" ht="12.75">
      <c r="A326" s="70"/>
    </row>
    <row r="327" spans="1:47" s="2" customFormat="1" ht="12.75">
      <c r="A327" s="71" t="s">
        <v>194</v>
      </c>
      <c r="B327" s="27">
        <f>B328+B338</f>
        <v>-109.50000000000006</v>
      </c>
      <c r="C327" s="27">
        <f aca="true" t="shared" si="235" ref="C327:R327">C328+C338</f>
        <v>-69.79999999999995</v>
      </c>
      <c r="D327" s="27">
        <f t="shared" si="235"/>
        <v>-27.199999999999932</v>
      </c>
      <c r="E327" s="27">
        <f t="shared" si="235"/>
        <v>42.09999999999991</v>
      </c>
      <c r="F327" s="27">
        <f t="shared" si="235"/>
        <v>70.70000000000016</v>
      </c>
      <c r="G327" s="27">
        <f t="shared" si="235"/>
        <v>-57.80000000000007</v>
      </c>
      <c r="H327" s="27">
        <f t="shared" si="235"/>
        <v>-115</v>
      </c>
      <c r="I327" s="27">
        <f t="shared" si="235"/>
        <v>-148.4000000000001</v>
      </c>
      <c r="J327" s="27">
        <f t="shared" si="235"/>
        <v>-212.29999999999995</v>
      </c>
      <c r="K327" s="27">
        <f t="shared" si="235"/>
        <v>-479.5999999999999</v>
      </c>
      <c r="L327" s="27">
        <f t="shared" si="235"/>
        <v>-553.4999999999998</v>
      </c>
      <c r="M327" s="27">
        <f t="shared" si="235"/>
        <v>-674.9999999999998</v>
      </c>
      <c r="N327" s="27">
        <f t="shared" si="235"/>
        <v>-281</v>
      </c>
      <c r="O327" s="27">
        <f t="shared" si="235"/>
        <v>-165</v>
      </c>
      <c r="P327" s="27">
        <f>P328+P338</f>
        <v>345</v>
      </c>
      <c r="Q327" s="27">
        <f t="shared" si="235"/>
        <v>8483</v>
      </c>
      <c r="R327" s="27">
        <f t="shared" si="235"/>
        <v>2914</v>
      </c>
      <c r="S327" s="27">
        <f aca="true" t="shared" si="236" ref="S327:AH327">S328+S338</f>
        <v>3857</v>
      </c>
      <c r="T327" s="27">
        <f t="shared" si="236"/>
        <v>1094</v>
      </c>
      <c r="U327" s="27">
        <f t="shared" si="236"/>
        <v>1499</v>
      </c>
      <c r="V327" s="27">
        <f t="shared" si="236"/>
        <v>6110</v>
      </c>
      <c r="W327" s="27">
        <f t="shared" si="236"/>
        <v>-4599</v>
      </c>
      <c r="X327" s="27">
        <f t="shared" si="236"/>
        <v>-2737</v>
      </c>
      <c r="Y327" s="27">
        <f t="shared" si="236"/>
        <v>6552</v>
      </c>
      <c r="Z327" s="27">
        <f t="shared" si="236"/>
        <v>-2116</v>
      </c>
      <c r="AA327" s="27">
        <f t="shared" si="236"/>
        <v>-702</v>
      </c>
      <c r="AB327" s="27">
        <f t="shared" si="236"/>
        <v>1579</v>
      </c>
      <c r="AC327" s="27">
        <f t="shared" si="236"/>
        <v>-4197</v>
      </c>
      <c r="AD327" s="27">
        <f t="shared" si="236"/>
        <v>-1452</v>
      </c>
      <c r="AE327" s="27">
        <f t="shared" si="236"/>
        <v>-1348.699999999999</v>
      </c>
      <c r="AF327" s="27">
        <f t="shared" si="236"/>
        <v>1700</v>
      </c>
      <c r="AG327" s="27">
        <f t="shared" si="236"/>
        <v>796.5999999999985</v>
      </c>
      <c r="AH327" s="27">
        <f t="shared" si="236"/>
        <v>-6119.5</v>
      </c>
      <c r="AI327" s="27">
        <f aca="true" t="shared" si="237" ref="AI327:AQ327">AI328+AI338</f>
        <v>-7530.200000000001</v>
      </c>
      <c r="AJ327" s="27">
        <f t="shared" si="237"/>
        <v>-1614.7000000000007</v>
      </c>
      <c r="AK327" s="27">
        <f t="shared" si="237"/>
        <v>1157.0999999999985</v>
      </c>
      <c r="AL327" s="27">
        <f t="shared" si="237"/>
        <v>4597.100000000002</v>
      </c>
      <c r="AM327" s="27">
        <f t="shared" si="237"/>
        <v>7253.699999999999</v>
      </c>
      <c r="AN327" s="27">
        <f t="shared" si="237"/>
        <v>-2245.0999999999985</v>
      </c>
      <c r="AO327" s="27">
        <f t="shared" si="237"/>
        <v>0</v>
      </c>
      <c r="AP327" s="27">
        <f t="shared" si="237"/>
        <v>0</v>
      </c>
      <c r="AQ327" s="27">
        <f t="shared" si="237"/>
        <v>0</v>
      </c>
      <c r="AR327" s="27">
        <f>AR328+AR338</f>
        <v>0</v>
      </c>
      <c r="AS327" s="27">
        <f>AS328+AS338</f>
        <v>0</v>
      </c>
      <c r="AT327" s="27">
        <f>AT328+AT338</f>
        <v>0</v>
      </c>
      <c r="AU327" s="27">
        <f>AU328+AU338</f>
        <v>0</v>
      </c>
    </row>
    <row r="328" spans="1:47" s="2" customFormat="1" ht="12.75">
      <c r="A328" s="69" t="s">
        <v>195</v>
      </c>
      <c r="B328" s="29">
        <f>B329+B333</f>
        <v>501.59999999999997</v>
      </c>
      <c r="C328" s="29">
        <f aca="true" t="shared" si="238" ref="C328:R328">C329+C333</f>
        <v>528.1</v>
      </c>
      <c r="D328" s="29">
        <f t="shared" si="238"/>
        <v>538.7</v>
      </c>
      <c r="E328" s="29">
        <f t="shared" si="238"/>
        <v>569.8</v>
      </c>
      <c r="F328" s="29">
        <f t="shared" si="238"/>
        <v>618.8000000000001</v>
      </c>
      <c r="G328" s="29">
        <f t="shared" si="238"/>
        <v>701.4</v>
      </c>
      <c r="H328" s="29">
        <f t="shared" si="238"/>
        <v>817.3</v>
      </c>
      <c r="I328" s="29">
        <f t="shared" si="238"/>
        <v>940.8</v>
      </c>
      <c r="J328" s="29">
        <f t="shared" si="238"/>
        <v>1175.5</v>
      </c>
      <c r="K328" s="29">
        <f t="shared" si="238"/>
        <v>1325.1</v>
      </c>
      <c r="L328" s="29">
        <f t="shared" si="238"/>
        <v>1518.7</v>
      </c>
      <c r="M328" s="29">
        <f t="shared" si="238"/>
        <v>1690.1000000000001</v>
      </c>
      <c r="N328" s="29">
        <f t="shared" si="238"/>
        <v>2734</v>
      </c>
      <c r="O328" s="29">
        <f t="shared" si="238"/>
        <v>3337</v>
      </c>
      <c r="P328" s="29">
        <f>P329+P333</f>
        <v>6232</v>
      </c>
      <c r="Q328" s="29">
        <f t="shared" si="238"/>
        <v>20922</v>
      </c>
      <c r="R328" s="29">
        <f t="shared" si="238"/>
        <v>21972</v>
      </c>
      <c r="S328" s="29">
        <f aca="true" t="shared" si="239" ref="S328:AH328">S329+S333</f>
        <v>24404</v>
      </c>
      <c r="T328" s="29">
        <f t="shared" si="239"/>
        <v>25590</v>
      </c>
      <c r="U328" s="29">
        <f t="shared" si="239"/>
        <v>22738</v>
      </c>
      <c r="V328" s="29">
        <f t="shared" si="239"/>
        <v>22659</v>
      </c>
      <c r="W328" s="29">
        <f t="shared" si="239"/>
        <v>14214</v>
      </c>
      <c r="X328" s="29">
        <f t="shared" si="239"/>
        <v>14320</v>
      </c>
      <c r="Y328" s="29">
        <f t="shared" si="239"/>
        <v>21456</v>
      </c>
      <c r="Z328" s="29">
        <f t="shared" si="239"/>
        <v>22082</v>
      </c>
      <c r="AA328" s="29">
        <f t="shared" si="239"/>
        <v>17948</v>
      </c>
      <c r="AB328" s="29">
        <f t="shared" si="239"/>
        <v>15023</v>
      </c>
      <c r="AC328" s="29">
        <f t="shared" si="239"/>
        <v>7145</v>
      </c>
      <c r="AD328" s="29">
        <f t="shared" si="239"/>
        <v>10292</v>
      </c>
      <c r="AE328" s="29">
        <f t="shared" si="239"/>
        <v>8810</v>
      </c>
      <c r="AF328" s="29">
        <f t="shared" si="239"/>
        <v>13380</v>
      </c>
      <c r="AG328" s="29">
        <f t="shared" si="239"/>
        <v>18429</v>
      </c>
      <c r="AH328" s="29">
        <f t="shared" si="239"/>
        <v>15761.2</v>
      </c>
      <c r="AI328" s="29">
        <f aca="true" t="shared" si="240" ref="AI328:AR328">AI329+AI333</f>
        <v>15457.5</v>
      </c>
      <c r="AJ328" s="29">
        <f t="shared" si="240"/>
        <v>14278.5</v>
      </c>
      <c r="AK328" s="29">
        <f t="shared" si="240"/>
        <v>14094.2</v>
      </c>
      <c r="AL328" s="29">
        <f t="shared" si="240"/>
        <v>16101.7</v>
      </c>
      <c r="AM328" s="29">
        <f t="shared" si="240"/>
        <v>19713.3</v>
      </c>
      <c r="AN328" s="29">
        <f t="shared" si="240"/>
        <v>15436.900000000001</v>
      </c>
      <c r="AO328" s="29">
        <f t="shared" si="240"/>
        <v>0</v>
      </c>
      <c r="AP328" s="29">
        <f t="shared" si="240"/>
        <v>0</v>
      </c>
      <c r="AQ328" s="29">
        <f t="shared" si="240"/>
        <v>0</v>
      </c>
      <c r="AR328" s="29">
        <f t="shared" si="240"/>
        <v>0</v>
      </c>
      <c r="AS328" s="29">
        <f>AS329+AS333</f>
        <v>0</v>
      </c>
      <c r="AT328" s="29">
        <f>AT329+AT333</f>
        <v>0</v>
      </c>
      <c r="AU328" s="29">
        <f>AU329+AU333</f>
        <v>0</v>
      </c>
    </row>
    <row r="329" spans="1:47" s="5" customFormat="1" ht="12.75">
      <c r="A329" s="40" t="s">
        <v>20</v>
      </c>
      <c r="B329" s="38">
        <f>B330+B331+B332</f>
        <v>430.09999999999997</v>
      </c>
      <c r="C329" s="38">
        <f aca="true" t="shared" si="241" ref="C329:R329">C330+C331+C332</f>
        <v>464.5</v>
      </c>
      <c r="D329" s="38">
        <f t="shared" si="241"/>
        <v>479.8</v>
      </c>
      <c r="E329" s="38">
        <f t="shared" si="241"/>
        <v>519.3</v>
      </c>
      <c r="F329" s="38">
        <f t="shared" si="241"/>
        <v>567.7</v>
      </c>
      <c r="G329" s="38">
        <f t="shared" si="241"/>
        <v>644.1999999999999</v>
      </c>
      <c r="H329" s="38">
        <f t="shared" si="241"/>
        <v>739.5</v>
      </c>
      <c r="I329" s="38">
        <f t="shared" si="241"/>
        <v>859.5999999999999</v>
      </c>
      <c r="J329" s="38">
        <f t="shared" si="241"/>
        <v>1054.9</v>
      </c>
      <c r="K329" s="38">
        <f t="shared" si="241"/>
        <v>1166.6</v>
      </c>
      <c r="L329" s="38">
        <f t="shared" si="241"/>
        <v>1330.3</v>
      </c>
      <c r="M329" s="38">
        <f t="shared" si="241"/>
        <v>1527.2</v>
      </c>
      <c r="N329" s="38">
        <f t="shared" si="241"/>
        <v>2479</v>
      </c>
      <c r="O329" s="38">
        <f t="shared" si="241"/>
        <v>3000</v>
      </c>
      <c r="P329" s="38">
        <f>P330+P331+P332</f>
        <v>5493</v>
      </c>
      <c r="Q329" s="38">
        <f t="shared" si="241"/>
        <v>19217</v>
      </c>
      <c r="R329" s="38">
        <f t="shared" si="241"/>
        <v>19521</v>
      </c>
      <c r="S329" s="38">
        <f aca="true" t="shared" si="242" ref="S329:AH329">S330+S331+S332</f>
        <v>21143</v>
      </c>
      <c r="T329" s="38">
        <f t="shared" si="242"/>
        <v>21428</v>
      </c>
      <c r="U329" s="38">
        <f t="shared" si="242"/>
        <v>18533</v>
      </c>
      <c r="V329" s="38">
        <f t="shared" si="242"/>
        <v>19829</v>
      </c>
      <c r="W329" s="38">
        <f t="shared" si="242"/>
        <v>12478</v>
      </c>
      <c r="X329" s="38">
        <f t="shared" si="242"/>
        <v>12870</v>
      </c>
      <c r="Y329" s="38">
        <f t="shared" si="242"/>
        <v>20335</v>
      </c>
      <c r="Z329" s="38">
        <f t="shared" si="242"/>
        <v>20747</v>
      </c>
      <c r="AA329" s="38">
        <f t="shared" si="242"/>
        <v>16879</v>
      </c>
      <c r="AB329" s="38">
        <f t="shared" si="242"/>
        <v>14259</v>
      </c>
      <c r="AC329" s="38">
        <f t="shared" si="242"/>
        <v>6539</v>
      </c>
      <c r="AD329" s="38">
        <f t="shared" si="242"/>
        <v>9855</v>
      </c>
      <c r="AE329" s="38">
        <f t="shared" si="242"/>
        <v>8343</v>
      </c>
      <c r="AF329" s="38">
        <f t="shared" si="242"/>
        <v>12582</v>
      </c>
      <c r="AG329" s="38">
        <f t="shared" si="242"/>
        <v>17537.4</v>
      </c>
      <c r="AH329" s="38">
        <f t="shared" si="242"/>
        <v>14879.900000000001</v>
      </c>
      <c r="AI329" s="38">
        <f aca="true" t="shared" si="243" ref="AI329:AQ329">AI330+AI331+AI332</f>
        <v>14611.8</v>
      </c>
      <c r="AJ329" s="38">
        <f t="shared" si="243"/>
        <v>13044</v>
      </c>
      <c r="AK329" s="38">
        <f t="shared" si="243"/>
        <v>13514.6</v>
      </c>
      <c r="AL329" s="38">
        <f t="shared" si="243"/>
        <v>15192.5</v>
      </c>
      <c r="AM329" s="38">
        <f t="shared" si="243"/>
        <v>18874.3</v>
      </c>
      <c r="AN329" s="38">
        <f t="shared" si="243"/>
        <v>14102.2</v>
      </c>
      <c r="AO329" s="38">
        <f t="shared" si="243"/>
        <v>0</v>
      </c>
      <c r="AP329" s="38">
        <f t="shared" si="243"/>
        <v>0</v>
      </c>
      <c r="AQ329" s="38">
        <f t="shared" si="243"/>
        <v>0</v>
      </c>
      <c r="AR329" s="38">
        <f>AR330+AR331+AR332</f>
        <v>0</v>
      </c>
      <c r="AS329" s="38">
        <f>AS330+AS331+AS332</f>
        <v>0</v>
      </c>
      <c r="AT329" s="38">
        <f>AT330+AT331+AT332</f>
        <v>0</v>
      </c>
      <c r="AU329" s="38">
        <f>AU330+AU331+AU332</f>
        <v>0</v>
      </c>
    </row>
    <row r="330" spans="1:47" s="2" customFormat="1" ht="12.75">
      <c r="A330" s="30" t="s">
        <v>196</v>
      </c>
      <c r="B330" s="31">
        <f>258.7+76.7</f>
        <v>335.4</v>
      </c>
      <c r="C330" s="31">
        <v>358.9</v>
      </c>
      <c r="D330" s="31">
        <v>391.3</v>
      </c>
      <c r="E330" s="31">
        <v>437.2</v>
      </c>
      <c r="F330" s="31">
        <v>470.8</v>
      </c>
      <c r="G330" s="31">
        <v>555.4</v>
      </c>
      <c r="H330" s="31">
        <v>607.5</v>
      </c>
      <c r="I330" s="31">
        <v>715.8</v>
      </c>
      <c r="J330" s="31">
        <v>857.4</v>
      </c>
      <c r="K330" s="31">
        <v>958.5</v>
      </c>
      <c r="L330" s="31">
        <v>1099</v>
      </c>
      <c r="M330" s="31">
        <v>1268.4</v>
      </c>
      <c r="N330" s="31">
        <v>2114</v>
      </c>
      <c r="O330" s="31">
        <v>2536</v>
      </c>
      <c r="P330" s="31">
        <v>4858</v>
      </c>
      <c r="Q330" s="31">
        <v>18523</v>
      </c>
      <c r="R330" s="31">
        <v>18871</v>
      </c>
      <c r="S330" s="31">
        <v>20488</v>
      </c>
      <c r="T330" s="31">
        <v>20713</v>
      </c>
      <c r="U330" s="31">
        <v>17867</v>
      </c>
      <c r="V330" s="31">
        <v>19316</v>
      </c>
      <c r="W330" s="31">
        <v>11607</v>
      </c>
      <c r="X330" s="31">
        <v>12456</v>
      </c>
      <c r="Y330" s="31">
        <v>20050</v>
      </c>
      <c r="Z330" s="31">
        <v>20457</v>
      </c>
      <c r="AA330" s="31">
        <v>16663</v>
      </c>
      <c r="AB330" s="31">
        <v>13968</v>
      </c>
      <c r="AC330" s="31">
        <v>5982</v>
      </c>
      <c r="AD330" s="31">
        <v>9189</v>
      </c>
      <c r="AE330" s="31">
        <v>7599</v>
      </c>
      <c r="AF330" s="31">
        <v>11988</v>
      </c>
      <c r="AG330" s="31">
        <v>16614.7</v>
      </c>
      <c r="AH330" s="31">
        <v>13828.1</v>
      </c>
      <c r="AI330" s="31">
        <v>14024.9</v>
      </c>
      <c r="AJ330" s="31">
        <v>12218.4</v>
      </c>
      <c r="AK330" s="31">
        <v>12944.1</v>
      </c>
      <c r="AL330" s="31">
        <v>13906.2</v>
      </c>
      <c r="AM330" s="31">
        <v>16892</v>
      </c>
      <c r="AN330" s="31">
        <v>12126.2</v>
      </c>
      <c r="AO330" s="31"/>
      <c r="AP330" s="31"/>
      <c r="AQ330" s="31"/>
      <c r="AR330" s="31"/>
      <c r="AS330" s="31"/>
      <c r="AT330" s="31"/>
      <c r="AU330" s="31"/>
    </row>
    <row r="331" spans="1:47" s="2" customFormat="1" ht="12.75">
      <c r="A331" s="30" t="s">
        <v>197</v>
      </c>
      <c r="B331" s="31">
        <v>0</v>
      </c>
      <c r="C331" s="31">
        <v>0</v>
      </c>
      <c r="D331" s="31">
        <v>0</v>
      </c>
      <c r="E331" s="31">
        <v>0</v>
      </c>
      <c r="F331" s="31">
        <v>0</v>
      </c>
      <c r="G331" s="31">
        <v>0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6</v>
      </c>
      <c r="N331" s="31">
        <v>36</v>
      </c>
      <c r="O331" s="31">
        <v>61</v>
      </c>
      <c r="P331" s="31">
        <v>87</v>
      </c>
      <c r="Q331" s="31">
        <v>131</v>
      </c>
      <c r="R331" s="31">
        <v>203</v>
      </c>
      <c r="S331" s="31">
        <v>183</v>
      </c>
      <c r="T331" s="31">
        <v>191</v>
      </c>
      <c r="U331" s="31">
        <v>249</v>
      </c>
      <c r="V331" s="31">
        <v>70</v>
      </c>
      <c r="W331" s="31">
        <v>243</v>
      </c>
      <c r="X331" s="31">
        <v>0</v>
      </c>
      <c r="Y331" s="31">
        <v>0</v>
      </c>
      <c r="Z331" s="31">
        <v>0</v>
      </c>
      <c r="AA331" s="31">
        <v>0</v>
      </c>
      <c r="AB331" s="31">
        <v>0</v>
      </c>
      <c r="AC331" s="31">
        <v>0</v>
      </c>
      <c r="AD331" s="31">
        <v>0</v>
      </c>
      <c r="AE331" s="31">
        <v>0</v>
      </c>
      <c r="AF331" s="31">
        <v>5</v>
      </c>
      <c r="AG331" s="31">
        <v>86.2</v>
      </c>
      <c r="AH331" s="31">
        <v>244.1</v>
      </c>
      <c r="AI331" s="31">
        <v>77.5</v>
      </c>
      <c r="AJ331" s="31">
        <v>81.2</v>
      </c>
      <c r="AK331" s="31">
        <v>101.8</v>
      </c>
      <c r="AL331" s="31">
        <v>129.9</v>
      </c>
      <c r="AM331" s="31">
        <v>195.3</v>
      </c>
      <c r="AN331" s="31">
        <v>244</v>
      </c>
      <c r="AO331" s="31"/>
      <c r="AP331" s="31"/>
      <c r="AQ331" s="31"/>
      <c r="AR331" s="31"/>
      <c r="AS331" s="31"/>
      <c r="AT331" s="31"/>
      <c r="AU331" s="31"/>
    </row>
    <row r="332" spans="1:47" s="2" customFormat="1" ht="12.75">
      <c r="A332" s="30" t="s">
        <v>198</v>
      </c>
      <c r="B332" s="31">
        <v>94.7</v>
      </c>
      <c r="C332" s="31">
        <v>105.6</v>
      </c>
      <c r="D332" s="31">
        <v>88.5</v>
      </c>
      <c r="E332" s="31">
        <v>82.1</v>
      </c>
      <c r="F332" s="31">
        <v>96.9</v>
      </c>
      <c r="G332" s="31">
        <v>88.8</v>
      </c>
      <c r="H332" s="31">
        <v>132</v>
      </c>
      <c r="I332" s="31">
        <v>143.8</v>
      </c>
      <c r="J332" s="31">
        <v>197.5</v>
      </c>
      <c r="K332" s="31">
        <v>208.1</v>
      </c>
      <c r="L332" s="31">
        <v>231.3</v>
      </c>
      <c r="M332" s="31">
        <v>252.8</v>
      </c>
      <c r="N332" s="31">
        <v>329</v>
      </c>
      <c r="O332" s="31">
        <v>403</v>
      </c>
      <c r="P332" s="31">
        <v>548</v>
      </c>
      <c r="Q332" s="31">
        <v>563</v>
      </c>
      <c r="R332" s="31">
        <v>447</v>
      </c>
      <c r="S332" s="31">
        <v>472</v>
      </c>
      <c r="T332" s="31">
        <v>524</v>
      </c>
      <c r="U332" s="31">
        <v>417</v>
      </c>
      <c r="V332" s="31">
        <v>443</v>
      </c>
      <c r="W332" s="31">
        <v>628</v>
      </c>
      <c r="X332" s="31">
        <v>414</v>
      </c>
      <c r="Y332" s="31">
        <v>285</v>
      </c>
      <c r="Z332" s="31">
        <v>290</v>
      </c>
      <c r="AA332" s="31">
        <v>216</v>
      </c>
      <c r="AB332" s="31">
        <v>291</v>
      </c>
      <c r="AC332" s="31">
        <v>557</v>
      </c>
      <c r="AD332" s="31">
        <v>666</v>
      </c>
      <c r="AE332" s="31">
        <v>744</v>
      </c>
      <c r="AF332" s="31">
        <v>589</v>
      </c>
      <c r="AG332" s="31">
        <v>836.5</v>
      </c>
      <c r="AH332" s="31">
        <v>807.7</v>
      </c>
      <c r="AI332" s="31">
        <v>509.4</v>
      </c>
      <c r="AJ332" s="31">
        <v>744.4</v>
      </c>
      <c r="AK332" s="31">
        <v>468.7</v>
      </c>
      <c r="AL332" s="31">
        <v>1156.4</v>
      </c>
      <c r="AM332" s="31">
        <v>1787</v>
      </c>
      <c r="AN332" s="31">
        <v>1732</v>
      </c>
      <c r="AO332" s="31"/>
      <c r="AP332" s="31"/>
      <c r="AQ332" s="31"/>
      <c r="AR332" s="31"/>
      <c r="AS332" s="31"/>
      <c r="AT332" s="31"/>
      <c r="AU332" s="31"/>
    </row>
    <row r="333" spans="1:47" s="5" customFormat="1" ht="12.75">
      <c r="A333" s="40" t="s">
        <v>199</v>
      </c>
      <c r="B333" s="38">
        <v>71.5</v>
      </c>
      <c r="C333" s="38">
        <f aca="true" t="shared" si="244" ref="C333:R333">C334+C335+C336</f>
        <v>63.599999999999994</v>
      </c>
      <c r="D333" s="38">
        <f t="shared" si="244"/>
        <v>58.9</v>
      </c>
      <c r="E333" s="38">
        <f t="shared" si="244"/>
        <v>50.5</v>
      </c>
      <c r="F333" s="38">
        <f t="shared" si="244"/>
        <v>51.099999999999994</v>
      </c>
      <c r="G333" s="38">
        <f t="shared" si="244"/>
        <v>57.2</v>
      </c>
      <c r="H333" s="38">
        <f t="shared" si="244"/>
        <v>77.80000000000001</v>
      </c>
      <c r="I333" s="38">
        <f t="shared" si="244"/>
        <v>81.19999999999999</v>
      </c>
      <c r="J333" s="38">
        <f t="shared" si="244"/>
        <v>120.6</v>
      </c>
      <c r="K333" s="38">
        <f t="shared" si="244"/>
        <v>158.5</v>
      </c>
      <c r="L333" s="38">
        <f t="shared" si="244"/>
        <v>188.4</v>
      </c>
      <c r="M333" s="38">
        <f t="shared" si="244"/>
        <v>162.9</v>
      </c>
      <c r="N333" s="38">
        <f t="shared" si="244"/>
        <v>255</v>
      </c>
      <c r="O333" s="38">
        <f t="shared" si="244"/>
        <v>337</v>
      </c>
      <c r="P333" s="38">
        <f>P334+P335+P336</f>
        <v>739</v>
      </c>
      <c r="Q333" s="38">
        <f t="shared" si="244"/>
        <v>1705</v>
      </c>
      <c r="R333" s="38">
        <f t="shared" si="244"/>
        <v>2451</v>
      </c>
      <c r="S333" s="38">
        <f aca="true" t="shared" si="245" ref="S333:AH333">S334+S335+S336</f>
        <v>3261</v>
      </c>
      <c r="T333" s="38">
        <f t="shared" si="245"/>
        <v>4162</v>
      </c>
      <c r="U333" s="38">
        <f t="shared" si="245"/>
        <v>4205</v>
      </c>
      <c r="V333" s="38">
        <f t="shared" si="245"/>
        <v>2830</v>
      </c>
      <c r="W333" s="38">
        <f t="shared" si="245"/>
        <v>1736</v>
      </c>
      <c r="X333" s="38">
        <f t="shared" si="245"/>
        <v>1450</v>
      </c>
      <c r="Y333" s="38">
        <f t="shared" si="245"/>
        <v>1121</v>
      </c>
      <c r="Z333" s="38">
        <f t="shared" si="245"/>
        <v>1335</v>
      </c>
      <c r="AA333" s="38">
        <f t="shared" si="245"/>
        <v>1069</v>
      </c>
      <c r="AB333" s="38">
        <f t="shared" si="245"/>
        <v>764</v>
      </c>
      <c r="AC333" s="38">
        <f t="shared" si="245"/>
        <v>606</v>
      </c>
      <c r="AD333" s="38">
        <f t="shared" si="245"/>
        <v>437</v>
      </c>
      <c r="AE333" s="38">
        <f t="shared" si="245"/>
        <v>467</v>
      </c>
      <c r="AF333" s="38">
        <f t="shared" si="245"/>
        <v>798</v>
      </c>
      <c r="AG333" s="38">
        <f t="shared" si="245"/>
        <v>891.6</v>
      </c>
      <c r="AH333" s="38">
        <f t="shared" si="245"/>
        <v>881.3</v>
      </c>
      <c r="AI333" s="38">
        <f aca="true" t="shared" si="246" ref="AI333:AQ333">AI334+AI335+AI336</f>
        <v>845.7</v>
      </c>
      <c r="AJ333" s="38">
        <f t="shared" si="246"/>
        <v>1234.5</v>
      </c>
      <c r="AK333" s="38">
        <f t="shared" si="246"/>
        <v>579.6</v>
      </c>
      <c r="AL333" s="38">
        <f t="shared" si="246"/>
        <v>909.1999999999999</v>
      </c>
      <c r="AM333" s="38">
        <f t="shared" si="246"/>
        <v>839</v>
      </c>
      <c r="AN333" s="38">
        <f t="shared" si="246"/>
        <v>1334.7</v>
      </c>
      <c r="AO333" s="38">
        <f t="shared" si="246"/>
        <v>0</v>
      </c>
      <c r="AP333" s="38">
        <f t="shared" si="246"/>
        <v>0</v>
      </c>
      <c r="AQ333" s="38">
        <f t="shared" si="246"/>
        <v>0</v>
      </c>
      <c r="AR333" s="38">
        <f>AR334+AR335+AR336</f>
        <v>0</v>
      </c>
      <c r="AS333" s="38">
        <f>AS334+AS335+AS336</f>
        <v>0</v>
      </c>
      <c r="AT333" s="38">
        <f>AT334+AT335+AT336</f>
        <v>0</v>
      </c>
      <c r="AU333" s="38">
        <f>AU334+AU335+AU336</f>
        <v>0</v>
      </c>
    </row>
    <row r="334" spans="1:47" s="2" customFormat="1" ht="12.75">
      <c r="A334" s="30" t="s">
        <v>9</v>
      </c>
      <c r="B334" s="32" t="e">
        <v>#N/A</v>
      </c>
      <c r="C334" s="31">
        <v>32.8</v>
      </c>
      <c r="D334" s="31">
        <v>29.7</v>
      </c>
      <c r="E334" s="31">
        <v>24.5</v>
      </c>
      <c r="F334" s="31">
        <v>26.9</v>
      </c>
      <c r="G334" s="31">
        <v>36</v>
      </c>
      <c r="H334" s="31">
        <v>49.7</v>
      </c>
      <c r="I334" s="31">
        <v>59.3</v>
      </c>
      <c r="J334" s="31">
        <v>91.1</v>
      </c>
      <c r="K334" s="31">
        <v>114.3</v>
      </c>
      <c r="L334" s="31">
        <v>131.8</v>
      </c>
      <c r="M334" s="31">
        <v>120.2</v>
      </c>
      <c r="N334" s="31">
        <v>186</v>
      </c>
      <c r="O334" s="31">
        <v>217</v>
      </c>
      <c r="P334" s="31">
        <v>326</v>
      </c>
      <c r="Q334" s="31">
        <v>598</v>
      </c>
      <c r="R334" s="31">
        <v>966</v>
      </c>
      <c r="S334" s="31">
        <v>1383</v>
      </c>
      <c r="T334" s="31">
        <v>2276</v>
      </c>
      <c r="U334" s="31">
        <v>2784</v>
      </c>
      <c r="V334" s="31">
        <v>601</v>
      </c>
      <c r="W334" s="31">
        <v>636</v>
      </c>
      <c r="X334" s="31">
        <v>455</v>
      </c>
      <c r="Y334" s="31">
        <v>330</v>
      </c>
      <c r="Z334" s="31">
        <v>366</v>
      </c>
      <c r="AA334" s="31">
        <v>368</v>
      </c>
      <c r="AB334" s="31">
        <v>305</v>
      </c>
      <c r="AC334" s="31">
        <v>196</v>
      </c>
      <c r="AD334" s="31">
        <v>168</v>
      </c>
      <c r="AE334" s="31">
        <v>166</v>
      </c>
      <c r="AF334" s="31">
        <v>303</v>
      </c>
      <c r="AG334" s="31">
        <v>310.2</v>
      </c>
      <c r="AH334" s="31">
        <v>450.4</v>
      </c>
      <c r="AI334" s="31">
        <v>447.9</v>
      </c>
      <c r="AJ334" s="31">
        <v>1016.8</v>
      </c>
      <c r="AK334" s="31">
        <v>393.4</v>
      </c>
      <c r="AL334" s="31">
        <v>558.3</v>
      </c>
      <c r="AM334" s="31">
        <v>443.1</v>
      </c>
      <c r="AN334" s="31">
        <v>788.9</v>
      </c>
      <c r="AO334" s="31"/>
      <c r="AP334" s="31"/>
      <c r="AQ334" s="31"/>
      <c r="AR334" s="31"/>
      <c r="AS334" s="31"/>
      <c r="AT334" s="31"/>
      <c r="AU334" s="31"/>
    </row>
    <row r="335" spans="1:47" s="2" customFormat="1" ht="12.75">
      <c r="A335" s="33" t="s">
        <v>200</v>
      </c>
      <c r="B335" s="34" t="e">
        <v>#N/A</v>
      </c>
      <c r="C335" s="35">
        <f>30.8-C336</f>
        <v>30.8</v>
      </c>
      <c r="D335" s="35">
        <f>29.2-D336</f>
        <v>29.2</v>
      </c>
      <c r="E335" s="2">
        <f>26-E336</f>
        <v>26</v>
      </c>
      <c r="F335" s="2">
        <f>24.2-F336</f>
        <v>24.2</v>
      </c>
      <c r="G335" s="35">
        <f>21.2-G336</f>
        <v>21.2</v>
      </c>
      <c r="H335" s="35">
        <f>28.1-H336</f>
        <v>28.1</v>
      </c>
      <c r="I335" s="35">
        <f>21.9-I336</f>
        <v>21.9</v>
      </c>
      <c r="J335" s="35">
        <v>29.5</v>
      </c>
      <c r="K335" s="35">
        <f>44.2-K336</f>
        <v>44.2</v>
      </c>
      <c r="L335" s="35">
        <f>56.6-L336</f>
        <v>56.6</v>
      </c>
      <c r="M335" s="35">
        <f>42.7-M336</f>
        <v>42.7</v>
      </c>
      <c r="N335" s="35">
        <f>69-N336</f>
        <v>69</v>
      </c>
      <c r="O335" s="35">
        <f>120-O336</f>
        <v>120</v>
      </c>
      <c r="P335" s="35">
        <v>350</v>
      </c>
      <c r="Q335" s="35">
        <v>601</v>
      </c>
      <c r="R335" s="35">
        <v>900</v>
      </c>
      <c r="S335" s="35">
        <v>1267</v>
      </c>
      <c r="T335" s="35">
        <v>1133</v>
      </c>
      <c r="U335" s="35">
        <v>336</v>
      </c>
      <c r="V335" s="35">
        <v>989</v>
      </c>
      <c r="W335" s="35">
        <v>96</v>
      </c>
      <c r="X335" s="35">
        <v>100</v>
      </c>
      <c r="Y335" s="35">
        <v>179</v>
      </c>
      <c r="Z335" s="35">
        <v>174</v>
      </c>
      <c r="AA335" s="35">
        <v>107</v>
      </c>
      <c r="AB335" s="35">
        <v>66</v>
      </c>
      <c r="AC335" s="35">
        <v>45</v>
      </c>
      <c r="AD335" s="35">
        <v>63</v>
      </c>
      <c r="AE335" s="35">
        <v>78</v>
      </c>
      <c r="AF335" s="35">
        <v>143</v>
      </c>
      <c r="AG335" s="35">
        <v>125.3</v>
      </c>
      <c r="AH335" s="35">
        <v>218</v>
      </c>
      <c r="AI335" s="35">
        <v>110.5</v>
      </c>
      <c r="AJ335" s="35">
        <v>66.4</v>
      </c>
      <c r="AK335" s="35">
        <v>43.8</v>
      </c>
      <c r="AL335" s="35">
        <v>35</v>
      </c>
      <c r="AM335" s="35">
        <v>50.5</v>
      </c>
      <c r="AN335" s="35">
        <v>79.7</v>
      </c>
      <c r="AO335" s="35"/>
      <c r="AP335" s="35"/>
      <c r="AQ335" s="35"/>
      <c r="AR335" s="35"/>
      <c r="AS335" s="35"/>
      <c r="AT335" s="35"/>
      <c r="AU335" s="35"/>
    </row>
    <row r="336" spans="1:47" s="2" customFormat="1" ht="12.75">
      <c r="A336" s="39" t="s">
        <v>201</v>
      </c>
      <c r="B336" s="2">
        <v>0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31">
        <v>63</v>
      </c>
      <c r="Q336" s="31">
        <v>506</v>
      </c>
      <c r="R336" s="31">
        <v>585</v>
      </c>
      <c r="S336" s="31">
        <v>611</v>
      </c>
      <c r="T336" s="31">
        <v>753</v>
      </c>
      <c r="U336" s="31">
        <v>1085</v>
      </c>
      <c r="V336" s="31">
        <v>1240</v>
      </c>
      <c r="W336" s="31">
        <v>1004</v>
      </c>
      <c r="X336" s="31">
        <v>895</v>
      </c>
      <c r="Y336" s="31">
        <v>612</v>
      </c>
      <c r="Z336" s="31">
        <v>795</v>
      </c>
      <c r="AA336" s="31">
        <v>594</v>
      </c>
      <c r="AB336" s="31">
        <v>393</v>
      </c>
      <c r="AC336" s="31">
        <v>365</v>
      </c>
      <c r="AD336" s="31">
        <v>206</v>
      </c>
      <c r="AE336" s="31">
        <v>223</v>
      </c>
      <c r="AF336" s="31">
        <v>352</v>
      </c>
      <c r="AG336" s="31">
        <v>456.1</v>
      </c>
      <c r="AH336" s="31">
        <v>212.9</v>
      </c>
      <c r="AI336" s="31">
        <v>287.3</v>
      </c>
      <c r="AJ336" s="31">
        <v>151.3</v>
      </c>
      <c r="AK336" s="31">
        <v>142.4</v>
      </c>
      <c r="AL336" s="31">
        <v>315.9</v>
      </c>
      <c r="AM336" s="31">
        <v>345.4</v>
      </c>
      <c r="AN336" s="31">
        <v>466.1</v>
      </c>
      <c r="AO336" s="31"/>
      <c r="AP336" s="31"/>
      <c r="AQ336" s="31"/>
      <c r="AR336" s="31"/>
      <c r="AS336" s="31"/>
      <c r="AT336" s="31"/>
      <c r="AU336" s="31"/>
    </row>
    <row r="337" spans="1:47" s="2" customFormat="1" ht="12.75">
      <c r="A337" s="30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</row>
    <row r="338" spans="1:47" s="2" customFormat="1" ht="12.75">
      <c r="A338" s="28" t="s">
        <v>202</v>
      </c>
      <c r="B338" s="29">
        <f>B339+B342</f>
        <v>-611.1</v>
      </c>
      <c r="C338" s="29">
        <f aca="true" t="shared" si="247" ref="C338:R338">C339+C342</f>
        <v>-597.9</v>
      </c>
      <c r="D338" s="29">
        <f t="shared" si="247"/>
        <v>-565.9</v>
      </c>
      <c r="E338" s="29">
        <f t="shared" si="247"/>
        <v>-527.7</v>
      </c>
      <c r="F338" s="29">
        <f t="shared" si="247"/>
        <v>-548.0999999999999</v>
      </c>
      <c r="G338" s="29">
        <f t="shared" si="247"/>
        <v>-759.2</v>
      </c>
      <c r="H338" s="29">
        <f t="shared" si="247"/>
        <v>-932.3</v>
      </c>
      <c r="I338" s="29">
        <f t="shared" si="247"/>
        <v>-1089.2</v>
      </c>
      <c r="J338" s="29">
        <f t="shared" si="247"/>
        <v>-1387.8</v>
      </c>
      <c r="K338" s="29">
        <f t="shared" si="247"/>
        <v>-1804.6999999999998</v>
      </c>
      <c r="L338" s="29">
        <f t="shared" si="247"/>
        <v>-2072.2</v>
      </c>
      <c r="M338" s="29">
        <f t="shared" si="247"/>
        <v>-2365.1</v>
      </c>
      <c r="N338" s="29">
        <f t="shared" si="247"/>
        <v>-3015</v>
      </c>
      <c r="O338" s="29">
        <f t="shared" si="247"/>
        <v>-3502</v>
      </c>
      <c r="P338" s="29">
        <f>P339+P342</f>
        <v>-5887</v>
      </c>
      <c r="Q338" s="29">
        <f t="shared" si="247"/>
        <v>-12439</v>
      </c>
      <c r="R338" s="29">
        <f t="shared" si="247"/>
        <v>-19058</v>
      </c>
      <c r="S338" s="29">
        <f aca="true" t="shared" si="248" ref="S338:AH338">S339+S342</f>
        <v>-20547</v>
      </c>
      <c r="T338" s="29">
        <f t="shared" si="248"/>
        <v>-24496</v>
      </c>
      <c r="U338" s="29">
        <f t="shared" si="248"/>
        <v>-21239</v>
      </c>
      <c r="V338" s="29">
        <f t="shared" si="248"/>
        <v>-16549</v>
      </c>
      <c r="W338" s="29">
        <f t="shared" si="248"/>
        <v>-18813</v>
      </c>
      <c r="X338" s="29">
        <f t="shared" si="248"/>
        <v>-17057</v>
      </c>
      <c r="Y338" s="29">
        <f t="shared" si="248"/>
        <v>-14904</v>
      </c>
      <c r="Z338" s="29">
        <f t="shared" si="248"/>
        <v>-24198</v>
      </c>
      <c r="AA338" s="29">
        <f t="shared" si="248"/>
        <v>-18650</v>
      </c>
      <c r="AB338" s="29">
        <f t="shared" si="248"/>
        <v>-13444</v>
      </c>
      <c r="AC338" s="29">
        <f t="shared" si="248"/>
        <v>-11342</v>
      </c>
      <c r="AD338" s="29">
        <f t="shared" si="248"/>
        <v>-11744</v>
      </c>
      <c r="AE338" s="29">
        <f t="shared" si="248"/>
        <v>-10158.699999999999</v>
      </c>
      <c r="AF338" s="29">
        <f t="shared" si="248"/>
        <v>-11680</v>
      </c>
      <c r="AG338" s="29">
        <f t="shared" si="248"/>
        <v>-17632.4</v>
      </c>
      <c r="AH338" s="29">
        <f t="shared" si="248"/>
        <v>-21880.7</v>
      </c>
      <c r="AI338" s="29">
        <f aca="true" t="shared" si="249" ref="AI338:AQ338">AI339+AI342</f>
        <v>-22987.7</v>
      </c>
      <c r="AJ338" s="29">
        <f t="shared" si="249"/>
        <v>-15893.2</v>
      </c>
      <c r="AK338" s="29">
        <f t="shared" si="249"/>
        <v>-12937.100000000002</v>
      </c>
      <c r="AL338" s="29">
        <f t="shared" si="249"/>
        <v>-11504.599999999999</v>
      </c>
      <c r="AM338" s="29">
        <f t="shared" si="249"/>
        <v>-12459.6</v>
      </c>
      <c r="AN338" s="29">
        <f t="shared" si="249"/>
        <v>-17682</v>
      </c>
      <c r="AO338" s="29">
        <f t="shared" si="249"/>
        <v>0</v>
      </c>
      <c r="AP338" s="29">
        <f t="shared" si="249"/>
        <v>0</v>
      </c>
      <c r="AQ338" s="29">
        <f t="shared" si="249"/>
        <v>0</v>
      </c>
      <c r="AR338" s="29">
        <f>AR339+AR342</f>
        <v>0</v>
      </c>
      <c r="AS338" s="29">
        <f>AS339+AS342</f>
        <v>0</v>
      </c>
      <c r="AT338" s="29">
        <f>AT339+AT342</f>
        <v>0</v>
      </c>
      <c r="AU338" s="29">
        <f>AU339+AU342</f>
        <v>0</v>
      </c>
    </row>
    <row r="339" spans="1:47" s="5" customFormat="1" ht="12.75">
      <c r="A339" s="40" t="s">
        <v>203</v>
      </c>
      <c r="B339" s="38">
        <f>B340+B341</f>
        <v>-520</v>
      </c>
      <c r="C339" s="38">
        <f aca="true" t="shared" si="250" ref="C339:R339">C340+C341</f>
        <v>-505.29999999999995</v>
      </c>
      <c r="D339" s="38">
        <f t="shared" si="250"/>
        <v>-490.6</v>
      </c>
      <c r="E339" s="38">
        <f t="shared" si="250"/>
        <v>-439.3</v>
      </c>
      <c r="F339" s="38">
        <f t="shared" si="250"/>
        <v>-443.9</v>
      </c>
      <c r="G339" s="38">
        <f t="shared" si="250"/>
        <v>-643</v>
      </c>
      <c r="H339" s="38">
        <f t="shared" si="250"/>
        <v>-791.6</v>
      </c>
      <c r="I339" s="38">
        <f t="shared" si="250"/>
        <v>-952.9</v>
      </c>
      <c r="J339" s="38">
        <f t="shared" si="250"/>
        <v>-1207</v>
      </c>
      <c r="K339" s="38">
        <f t="shared" si="250"/>
        <v>-1529.1999999999998</v>
      </c>
      <c r="L339" s="38">
        <f t="shared" si="250"/>
        <v>-1729.1</v>
      </c>
      <c r="M339" s="38">
        <f t="shared" si="250"/>
        <v>-1986.1</v>
      </c>
      <c r="N339" s="38">
        <f t="shared" si="250"/>
        <v>-2571</v>
      </c>
      <c r="O339" s="38">
        <f t="shared" si="250"/>
        <v>-2993</v>
      </c>
      <c r="P339" s="38">
        <f>P340+P341</f>
        <v>-4969</v>
      </c>
      <c r="Q339" s="38">
        <f t="shared" si="250"/>
        <v>-10644</v>
      </c>
      <c r="R339" s="38">
        <f t="shared" si="250"/>
        <v>-16046</v>
      </c>
      <c r="S339" s="38">
        <f aca="true" t="shared" si="251" ref="S339:AH339">S340+S341</f>
        <v>-16360</v>
      </c>
      <c r="T339" s="38">
        <f t="shared" si="251"/>
        <v>-16553</v>
      </c>
      <c r="U339" s="38">
        <f t="shared" si="251"/>
        <v>-13552</v>
      </c>
      <c r="V339" s="38">
        <f t="shared" si="251"/>
        <v>-11545</v>
      </c>
      <c r="W339" s="38">
        <f t="shared" si="251"/>
        <v>-15743</v>
      </c>
      <c r="X339" s="38">
        <f t="shared" si="251"/>
        <v>-15344</v>
      </c>
      <c r="Y339" s="38">
        <f t="shared" si="251"/>
        <v>-13408</v>
      </c>
      <c r="Z339" s="38">
        <f t="shared" si="251"/>
        <v>-22317</v>
      </c>
      <c r="AA339" s="38">
        <f t="shared" si="251"/>
        <v>-16912</v>
      </c>
      <c r="AB339" s="38">
        <f t="shared" si="251"/>
        <v>-11751</v>
      </c>
      <c r="AC339" s="38">
        <f t="shared" si="251"/>
        <v>-10236</v>
      </c>
      <c r="AD339" s="38">
        <f t="shared" si="251"/>
        <v>-10537</v>
      </c>
      <c r="AE339" s="38">
        <f t="shared" si="251"/>
        <v>-8809.8</v>
      </c>
      <c r="AF339" s="38">
        <f t="shared" si="251"/>
        <v>-9905</v>
      </c>
      <c r="AG339" s="38">
        <f t="shared" si="251"/>
        <v>-15584.800000000001</v>
      </c>
      <c r="AH339" s="38">
        <f t="shared" si="251"/>
        <v>-18817.9</v>
      </c>
      <c r="AI339" s="38">
        <f aca="true" t="shared" si="252" ref="AI339:AQ339">AI340+AI341</f>
        <v>-19630.2</v>
      </c>
      <c r="AJ339" s="38">
        <f t="shared" si="252"/>
        <v>-12290.5</v>
      </c>
      <c r="AK339" s="38">
        <f t="shared" si="252"/>
        <v>-10451.900000000001</v>
      </c>
      <c r="AL339" s="38">
        <f t="shared" si="252"/>
        <v>-10117.8</v>
      </c>
      <c r="AM339" s="38">
        <f t="shared" si="252"/>
        <v>-10882</v>
      </c>
      <c r="AN339" s="38">
        <f t="shared" si="252"/>
        <v>-15652.699999999999</v>
      </c>
      <c r="AO339" s="38">
        <f t="shared" si="252"/>
        <v>0</v>
      </c>
      <c r="AP339" s="38">
        <f t="shared" si="252"/>
        <v>0</v>
      </c>
      <c r="AQ339" s="38">
        <f t="shared" si="252"/>
        <v>0</v>
      </c>
      <c r="AR339" s="38">
        <f>AR340+AR341</f>
        <v>0</v>
      </c>
      <c r="AS339" s="38">
        <f>AS340+AS341</f>
        <v>0</v>
      </c>
      <c r="AT339" s="38">
        <f>AT340+AT341</f>
        <v>0</v>
      </c>
      <c r="AU339" s="38">
        <f>AU340+AU341</f>
        <v>0</v>
      </c>
    </row>
    <row r="340" spans="1:47" s="2" customFormat="1" ht="12.75">
      <c r="A340" s="30" t="s">
        <v>9</v>
      </c>
      <c r="B340" s="31">
        <v>-419</v>
      </c>
      <c r="C340" s="31">
        <v>-419.2</v>
      </c>
      <c r="D340" s="31">
        <v>-408.1</v>
      </c>
      <c r="E340" s="31">
        <v>-386</v>
      </c>
      <c r="F340" s="31">
        <v>-378</v>
      </c>
      <c r="G340" s="31">
        <v>-542.4</v>
      </c>
      <c r="H340" s="31">
        <v>-574.2</v>
      </c>
      <c r="I340" s="31">
        <v>-677.9</v>
      </c>
      <c r="J340" s="31">
        <v>-757.8</v>
      </c>
      <c r="K340" s="31">
        <v>-870.4</v>
      </c>
      <c r="L340" s="31">
        <v>-972.7</v>
      </c>
      <c r="M340" s="31">
        <v>-1042.6</v>
      </c>
      <c r="N340" s="31">
        <v>-1223</v>
      </c>
      <c r="O340" s="31">
        <v>-1572</v>
      </c>
      <c r="P340" s="31">
        <v>-2712</v>
      </c>
      <c r="Q340" s="31">
        <v>-5031</v>
      </c>
      <c r="R340" s="31">
        <v>-7627</v>
      </c>
      <c r="S340" s="31">
        <v>-7908</v>
      </c>
      <c r="T340" s="31">
        <v>-7535</v>
      </c>
      <c r="U340" s="31">
        <v>-7512</v>
      </c>
      <c r="V340" s="31">
        <v>-7508</v>
      </c>
      <c r="W340" s="31">
        <v>-10818</v>
      </c>
      <c r="X340" s="31">
        <v>-8972</v>
      </c>
      <c r="Y340" s="31">
        <v>-5584</v>
      </c>
      <c r="Z340" s="31">
        <v>-9542</v>
      </c>
      <c r="AA340" s="31">
        <v>-5788</v>
      </c>
      <c r="AB340" s="31">
        <v>-4007</v>
      </c>
      <c r="AC340" s="31">
        <v>-3466</v>
      </c>
      <c r="AD340" s="31">
        <v>-3148</v>
      </c>
      <c r="AE340" s="31">
        <v>-2703.3</v>
      </c>
      <c r="AF340" s="31">
        <v>-3413</v>
      </c>
      <c r="AG340" s="31">
        <v>-5451.1</v>
      </c>
      <c r="AH340" s="31">
        <v>-6798.2</v>
      </c>
      <c r="AI340" s="31">
        <v>-9199.7</v>
      </c>
      <c r="AJ340" s="31">
        <v>-5272.7</v>
      </c>
      <c r="AK340" s="31">
        <v>-4263.6</v>
      </c>
      <c r="AL340" s="31">
        <v>-3516</v>
      </c>
      <c r="AM340" s="31">
        <v>-3821.6</v>
      </c>
      <c r="AN340" s="31">
        <v>-7150.4</v>
      </c>
      <c r="AO340" s="31"/>
      <c r="AP340" s="31"/>
      <c r="AQ340" s="31"/>
      <c r="AR340" s="31"/>
      <c r="AS340" s="31"/>
      <c r="AT340" s="31"/>
      <c r="AU340" s="31"/>
    </row>
    <row r="341" spans="1:47" s="2" customFormat="1" ht="12.75">
      <c r="A341" s="30" t="s">
        <v>200</v>
      </c>
      <c r="B341" s="31">
        <v>-101</v>
      </c>
      <c r="C341" s="31">
        <v>-86.1</v>
      </c>
      <c r="D341" s="31">
        <v>-82.5</v>
      </c>
      <c r="E341" s="31">
        <v>-53.3</v>
      </c>
      <c r="F341" s="31">
        <v>-65.9</v>
      </c>
      <c r="G341" s="31">
        <v>-100.6</v>
      </c>
      <c r="H341" s="31">
        <v>-217.4</v>
      </c>
      <c r="I341" s="31">
        <v>-275</v>
      </c>
      <c r="J341" s="31">
        <v>-449.2</v>
      </c>
      <c r="K341" s="31">
        <v>-658.8</v>
      </c>
      <c r="L341" s="31">
        <v>-756.4</v>
      </c>
      <c r="M341" s="31">
        <v>-943.5</v>
      </c>
      <c r="N341" s="31">
        <v>-1348</v>
      </c>
      <c r="O341" s="31">
        <v>-1421</v>
      </c>
      <c r="P341" s="31">
        <v>-2257</v>
      </c>
      <c r="Q341" s="31">
        <v>-5613</v>
      </c>
      <c r="R341" s="31">
        <v>-8419</v>
      </c>
      <c r="S341" s="31">
        <v>-8452</v>
      </c>
      <c r="T341" s="31">
        <v>-9018</v>
      </c>
      <c r="U341" s="31">
        <v>-6040</v>
      </c>
      <c r="V341" s="31">
        <v>-4037</v>
      </c>
      <c r="W341" s="31">
        <v>-4925</v>
      </c>
      <c r="X341" s="31">
        <v>-6372</v>
      </c>
      <c r="Y341" s="31">
        <v>-7824</v>
      </c>
      <c r="Z341" s="31">
        <v>-12775</v>
      </c>
      <c r="AA341" s="31">
        <v>-11124</v>
      </c>
      <c r="AB341" s="31">
        <v>-7744</v>
      </c>
      <c r="AC341" s="31">
        <v>-6770</v>
      </c>
      <c r="AD341" s="31">
        <v>-7389</v>
      </c>
      <c r="AE341" s="31">
        <v>-6106.5</v>
      </c>
      <c r="AF341" s="31">
        <v>-6492</v>
      </c>
      <c r="AG341" s="31">
        <v>-10133.7</v>
      </c>
      <c r="AH341" s="31">
        <v>-12019.7</v>
      </c>
      <c r="AI341" s="31">
        <v>-10430.5</v>
      </c>
      <c r="AJ341" s="31">
        <v>-7017.8</v>
      </c>
      <c r="AK341" s="31">
        <v>-6188.3</v>
      </c>
      <c r="AL341" s="31">
        <v>-6601.8</v>
      </c>
      <c r="AM341" s="31">
        <v>-7060.4</v>
      </c>
      <c r="AN341" s="31">
        <v>-8502.3</v>
      </c>
      <c r="AO341" s="31"/>
      <c r="AP341" s="31"/>
      <c r="AQ341" s="31"/>
      <c r="AR341" s="31"/>
      <c r="AS341" s="31"/>
      <c r="AT341" s="31"/>
      <c r="AU341" s="31"/>
    </row>
    <row r="342" spans="1:47" s="5" customFormat="1" ht="12.75">
      <c r="A342" s="40" t="s">
        <v>204</v>
      </c>
      <c r="B342" s="38">
        <v>-91.1</v>
      </c>
      <c r="C342" s="38">
        <f aca="true" t="shared" si="253" ref="C342:R342">C343+C344+C345</f>
        <v>-92.6</v>
      </c>
      <c r="D342" s="38">
        <f t="shared" si="253"/>
        <v>-75.3</v>
      </c>
      <c r="E342" s="38">
        <f t="shared" si="253"/>
        <v>-88.39999999999999</v>
      </c>
      <c r="F342" s="38">
        <f t="shared" si="253"/>
        <v>-104.19999999999999</v>
      </c>
      <c r="G342" s="38">
        <f t="shared" si="253"/>
        <v>-116.19999999999999</v>
      </c>
      <c r="H342" s="38">
        <f t="shared" si="253"/>
        <v>-140.7</v>
      </c>
      <c r="I342" s="38">
        <f t="shared" si="253"/>
        <v>-136.3</v>
      </c>
      <c r="J342" s="38">
        <f t="shared" si="253"/>
        <v>-180.8</v>
      </c>
      <c r="K342" s="38">
        <f t="shared" si="253"/>
        <v>-275.5</v>
      </c>
      <c r="L342" s="38">
        <f t="shared" si="253"/>
        <v>-343.1</v>
      </c>
      <c r="M342" s="38">
        <f t="shared" si="253"/>
        <v>-379</v>
      </c>
      <c r="N342" s="38">
        <f t="shared" si="253"/>
        <v>-444</v>
      </c>
      <c r="O342" s="38">
        <f t="shared" si="253"/>
        <v>-509</v>
      </c>
      <c r="P342" s="38">
        <f>P343+P344+P345</f>
        <v>-918</v>
      </c>
      <c r="Q342" s="38">
        <f t="shared" si="253"/>
        <v>-1795</v>
      </c>
      <c r="R342" s="38">
        <f t="shared" si="253"/>
        <v>-3012</v>
      </c>
      <c r="S342" s="38">
        <f aca="true" t="shared" si="254" ref="S342:AH342">S343+S344+S345</f>
        <v>-4187</v>
      </c>
      <c r="T342" s="38">
        <f t="shared" si="254"/>
        <v>-7943</v>
      </c>
      <c r="U342" s="38">
        <f t="shared" si="254"/>
        <v>-7687</v>
      </c>
      <c r="V342" s="38">
        <f t="shared" si="254"/>
        <v>-5004</v>
      </c>
      <c r="W342" s="38">
        <f t="shared" si="254"/>
        <v>-3070</v>
      </c>
      <c r="X342" s="38">
        <f t="shared" si="254"/>
        <v>-1713</v>
      </c>
      <c r="Y342" s="38">
        <f t="shared" si="254"/>
        <v>-1496</v>
      </c>
      <c r="Z342" s="38">
        <f t="shared" si="254"/>
        <v>-1881</v>
      </c>
      <c r="AA342" s="38">
        <f t="shared" si="254"/>
        <v>-1738</v>
      </c>
      <c r="AB342" s="38">
        <f t="shared" si="254"/>
        <v>-1693</v>
      </c>
      <c r="AC342" s="38">
        <f t="shared" si="254"/>
        <v>-1106</v>
      </c>
      <c r="AD342" s="38">
        <f t="shared" si="254"/>
        <v>-1207</v>
      </c>
      <c r="AE342" s="38">
        <f t="shared" si="254"/>
        <v>-1348.9</v>
      </c>
      <c r="AF342" s="38">
        <f t="shared" si="254"/>
        <v>-1775</v>
      </c>
      <c r="AG342" s="38">
        <f t="shared" si="254"/>
        <v>-2047.6000000000001</v>
      </c>
      <c r="AH342" s="38">
        <f t="shared" si="254"/>
        <v>-3062.8</v>
      </c>
      <c r="AI342" s="38">
        <f aca="true" t="shared" si="255" ref="AI342:AQ342">AI343+AI344+AI345</f>
        <v>-3357.5</v>
      </c>
      <c r="AJ342" s="38">
        <f t="shared" si="255"/>
        <v>-3602.7</v>
      </c>
      <c r="AK342" s="38">
        <f t="shared" si="255"/>
        <v>-2485.2000000000003</v>
      </c>
      <c r="AL342" s="38">
        <f t="shared" si="255"/>
        <v>-1386.8000000000002</v>
      </c>
      <c r="AM342" s="38">
        <f t="shared" si="255"/>
        <v>-1577.6000000000001</v>
      </c>
      <c r="AN342" s="38">
        <f t="shared" si="255"/>
        <v>-2029.3</v>
      </c>
      <c r="AO342" s="38">
        <f t="shared" si="255"/>
        <v>0</v>
      </c>
      <c r="AP342" s="38">
        <f t="shared" si="255"/>
        <v>0</v>
      </c>
      <c r="AQ342" s="38">
        <f t="shared" si="255"/>
        <v>0</v>
      </c>
      <c r="AR342" s="38">
        <f>AR343+AR344+AR345</f>
        <v>0</v>
      </c>
      <c r="AS342" s="38">
        <f>AS343+AS344+AS345</f>
        <v>0</v>
      </c>
      <c r="AT342" s="38">
        <f>AT343+AT344+AT345</f>
        <v>0</v>
      </c>
      <c r="AU342" s="38">
        <f>AU343+AU344+AU345</f>
        <v>0</v>
      </c>
    </row>
    <row r="343" spans="1:47" s="2" customFormat="1" ht="12.75">
      <c r="A343" s="30" t="s">
        <v>9</v>
      </c>
      <c r="B343" s="31" t="e">
        <v>#N/A</v>
      </c>
      <c r="C343" s="31">
        <v>-42.4</v>
      </c>
      <c r="D343" s="31">
        <v>-29.7</v>
      </c>
      <c r="E343" s="31">
        <v>-36.8</v>
      </c>
      <c r="F343" s="31">
        <v>-38.8</v>
      </c>
      <c r="G343" s="31">
        <v>-44.3</v>
      </c>
      <c r="H343" s="31">
        <v>-47.5</v>
      </c>
      <c r="I343" s="31">
        <v>-49.1</v>
      </c>
      <c r="J343" s="31">
        <v>-68.9</v>
      </c>
      <c r="K343" s="31">
        <v>-114.1</v>
      </c>
      <c r="L343" s="31">
        <v>-145.2</v>
      </c>
      <c r="M343" s="31">
        <v>-176.7</v>
      </c>
      <c r="N343" s="31">
        <v>-177</v>
      </c>
      <c r="O343" s="31">
        <v>-203</v>
      </c>
      <c r="P343" s="31">
        <v>-377</v>
      </c>
      <c r="Q343" s="31">
        <v>-806</v>
      </c>
      <c r="R343" s="31">
        <v>-1432</v>
      </c>
      <c r="S343" s="31">
        <v>-2614</v>
      </c>
      <c r="T343" s="31">
        <v>-5000</v>
      </c>
      <c r="U343" s="31">
        <v>-4846</v>
      </c>
      <c r="V343" s="31">
        <v>-3488</v>
      </c>
      <c r="W343" s="31">
        <v>-1872</v>
      </c>
      <c r="X343" s="31">
        <v>-802</v>
      </c>
      <c r="Y343" s="31">
        <v>-508</v>
      </c>
      <c r="Z343" s="31">
        <v>-635</v>
      </c>
      <c r="AA343" s="31">
        <v>-692</v>
      </c>
      <c r="AB343" s="31">
        <v>-711</v>
      </c>
      <c r="AC343" s="31">
        <v>-397</v>
      </c>
      <c r="AD343" s="31">
        <v>-326</v>
      </c>
      <c r="AE343" s="31">
        <v>-223.5</v>
      </c>
      <c r="AF343" s="31">
        <v>-247</v>
      </c>
      <c r="AG343" s="31">
        <v>-731.6</v>
      </c>
      <c r="AH343" s="31">
        <v>-1411.2</v>
      </c>
      <c r="AI343" s="31">
        <v>-1645</v>
      </c>
      <c r="AJ343" s="31">
        <v>-2488</v>
      </c>
      <c r="AK343" s="31">
        <v>-1387</v>
      </c>
      <c r="AL343" s="31">
        <v>-505.8</v>
      </c>
      <c r="AM343" s="31">
        <v>-543.6</v>
      </c>
      <c r="AN343" s="31">
        <v>-524.5</v>
      </c>
      <c r="AO343" s="31"/>
      <c r="AP343" s="31"/>
      <c r="AQ343" s="31"/>
      <c r="AR343" s="31"/>
      <c r="AS343" s="31"/>
      <c r="AT343" s="31"/>
      <c r="AU343" s="31"/>
    </row>
    <row r="344" spans="1:47" s="2" customFormat="1" ht="12.75">
      <c r="A344" s="30" t="s">
        <v>200</v>
      </c>
      <c r="B344" s="31" t="e">
        <v>#N/A</v>
      </c>
      <c r="C344" s="31">
        <v>-37.8</v>
      </c>
      <c r="D344" s="31">
        <v>-34</v>
      </c>
      <c r="E344" s="31">
        <v>-37.3</v>
      </c>
      <c r="F344" s="31">
        <v>-50.4</v>
      </c>
      <c r="G344" s="31">
        <v>-53.4</v>
      </c>
      <c r="H344" s="31">
        <v>-76.8</v>
      </c>
      <c r="I344" s="31">
        <v>-72.9</v>
      </c>
      <c r="J344" s="31">
        <v>-87.6</v>
      </c>
      <c r="K344" s="31">
        <v>-116.1</v>
      </c>
      <c r="L344" s="31">
        <v>-127.5</v>
      </c>
      <c r="M344" s="31">
        <v>-105.3</v>
      </c>
      <c r="N344" s="31">
        <v>-157</v>
      </c>
      <c r="O344" s="31">
        <v>-149</v>
      </c>
      <c r="P344" s="31">
        <v>-310</v>
      </c>
      <c r="Q344" s="31">
        <v>-648</v>
      </c>
      <c r="R344" s="31">
        <v>-1269</v>
      </c>
      <c r="S344" s="31">
        <v>-1273</v>
      </c>
      <c r="T344" s="31">
        <v>-2577</v>
      </c>
      <c r="U344" s="31">
        <v>-2280</v>
      </c>
      <c r="V344" s="31">
        <v>-718</v>
      </c>
      <c r="W344" s="31">
        <v>-801</v>
      </c>
      <c r="X344" s="31">
        <v>-636</v>
      </c>
      <c r="Y344" s="31">
        <v>-761</v>
      </c>
      <c r="Z344" s="31">
        <v>-1062</v>
      </c>
      <c r="AA344" s="31">
        <v>-903</v>
      </c>
      <c r="AB344" s="31">
        <v>-882</v>
      </c>
      <c r="AC344" s="31">
        <v>-643</v>
      </c>
      <c r="AD344" s="31">
        <v>-815</v>
      </c>
      <c r="AE344" s="31">
        <v>-1042.9</v>
      </c>
      <c r="AF344" s="31">
        <v>-1424</v>
      </c>
      <c r="AG344" s="31">
        <v>-1238.2</v>
      </c>
      <c r="AH344" s="31">
        <v>-1566.9</v>
      </c>
      <c r="AI344" s="31">
        <v>-1555.3</v>
      </c>
      <c r="AJ344" s="31">
        <v>-972</v>
      </c>
      <c r="AK344" s="31">
        <v>-684.8</v>
      </c>
      <c r="AL344" s="31">
        <v>-728.6</v>
      </c>
      <c r="AM344" s="31">
        <v>-880.1</v>
      </c>
      <c r="AN344" s="31">
        <v>-1303.8</v>
      </c>
      <c r="AO344" s="31"/>
      <c r="AP344" s="31"/>
      <c r="AQ344" s="31"/>
      <c r="AR344" s="31"/>
      <c r="AS344" s="31"/>
      <c r="AT344" s="31"/>
      <c r="AU344" s="31"/>
    </row>
    <row r="345" spans="1:47" s="2" customFormat="1" ht="12.75">
      <c r="A345" s="30" t="s">
        <v>205</v>
      </c>
      <c r="B345" s="31" t="e">
        <v>#N/A</v>
      </c>
      <c r="C345" s="31">
        <v>-12.4</v>
      </c>
      <c r="D345" s="31">
        <v>-11.6</v>
      </c>
      <c r="E345" s="31">
        <v>-14.3</v>
      </c>
      <c r="F345" s="31">
        <v>-15</v>
      </c>
      <c r="G345" s="31">
        <v>-18.5</v>
      </c>
      <c r="H345" s="31">
        <v>-16.4</v>
      </c>
      <c r="I345" s="31">
        <v>-14.3</v>
      </c>
      <c r="J345" s="31">
        <v>-24.3</v>
      </c>
      <c r="K345" s="31">
        <v>-45.3</v>
      </c>
      <c r="L345" s="31">
        <v>-70.4</v>
      </c>
      <c r="M345" s="31">
        <v>-97</v>
      </c>
      <c r="N345" s="31">
        <v>-110</v>
      </c>
      <c r="O345" s="31">
        <v>-157</v>
      </c>
      <c r="P345" s="31">
        <v>-231</v>
      </c>
      <c r="Q345" s="31">
        <v>-341</v>
      </c>
      <c r="R345" s="31">
        <v>-311</v>
      </c>
      <c r="S345" s="31">
        <v>-300</v>
      </c>
      <c r="T345" s="31">
        <v>-366</v>
      </c>
      <c r="U345" s="31">
        <v>-561</v>
      </c>
      <c r="V345" s="31">
        <v>-798</v>
      </c>
      <c r="W345" s="31">
        <v>-397</v>
      </c>
      <c r="X345" s="31">
        <v>-275</v>
      </c>
      <c r="Y345" s="31">
        <v>-227</v>
      </c>
      <c r="Z345" s="31">
        <v>-184</v>
      </c>
      <c r="AA345" s="31">
        <v>-143</v>
      </c>
      <c r="AB345" s="31">
        <v>-100</v>
      </c>
      <c r="AC345" s="31">
        <v>-66</v>
      </c>
      <c r="AD345" s="31">
        <v>-66</v>
      </c>
      <c r="AE345" s="31">
        <v>-82.5</v>
      </c>
      <c r="AF345" s="31">
        <v>-104</v>
      </c>
      <c r="AG345" s="31">
        <v>-77.8</v>
      </c>
      <c r="AH345" s="31">
        <v>-84.7</v>
      </c>
      <c r="AI345" s="31">
        <v>-157.2</v>
      </c>
      <c r="AJ345" s="31">
        <v>-142.7</v>
      </c>
      <c r="AK345" s="31">
        <v>-413.4</v>
      </c>
      <c r="AL345" s="31">
        <v>-152.4</v>
      </c>
      <c r="AM345" s="31">
        <v>-153.9</v>
      </c>
      <c r="AN345" s="31">
        <v>-201</v>
      </c>
      <c r="AO345" s="31"/>
      <c r="AP345" s="31"/>
      <c r="AQ345" s="31"/>
      <c r="AR345" s="31"/>
      <c r="AS345" s="31"/>
      <c r="AT345" s="31"/>
      <c r="AU345" s="31"/>
    </row>
    <row r="346" spans="1:47" s="2" customFormat="1" ht="12.75">
      <c r="A346" s="30"/>
      <c r="B346" s="31"/>
      <c r="C346" s="31"/>
      <c r="D346" s="31"/>
      <c r="E346" s="31"/>
      <c r="F346" s="31"/>
      <c r="G346" s="31"/>
      <c r="H346" s="31"/>
      <c r="I346" s="31"/>
      <c r="J346" s="36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</row>
    <row r="347" spans="1:47" s="2" customFormat="1" ht="12.75">
      <c r="A347" s="37" t="s">
        <v>206</v>
      </c>
      <c r="B347" s="38">
        <f>B348+B354</f>
        <v>68.80000000000001</v>
      </c>
      <c r="C347" s="38">
        <f aca="true" t="shared" si="256" ref="C347:K347">C348+C354</f>
        <v>16.6</v>
      </c>
      <c r="D347" s="38">
        <f t="shared" si="256"/>
        <v>89.39999999999998</v>
      </c>
      <c r="E347" s="38">
        <f t="shared" si="256"/>
        <v>2.1999999999999957</v>
      </c>
      <c r="F347" s="38">
        <f t="shared" si="256"/>
        <v>-40.1</v>
      </c>
      <c r="G347" s="38">
        <f t="shared" si="256"/>
        <v>-45.19999999999999</v>
      </c>
      <c r="H347" s="38">
        <f t="shared" si="256"/>
        <v>19.19999999999999</v>
      </c>
      <c r="I347" s="38">
        <f t="shared" si="256"/>
        <v>119.69999999999999</v>
      </c>
      <c r="J347" s="38">
        <f t="shared" si="256"/>
        <v>214.2</v>
      </c>
      <c r="K347" s="38">
        <f t="shared" si="256"/>
        <v>384.1</v>
      </c>
      <c r="L347" s="38">
        <f>L348+L354</f>
        <v>398.79999999999995</v>
      </c>
      <c r="M347" s="38">
        <f aca="true" t="shared" si="257" ref="M347:AB347">M348+M354</f>
        <v>413.4000000000001</v>
      </c>
      <c r="N347" s="38">
        <f t="shared" si="257"/>
        <v>668</v>
      </c>
      <c r="O347" s="38">
        <f t="shared" si="257"/>
        <v>592</v>
      </c>
      <c r="P347" s="38">
        <f>P348+P354</f>
        <v>925</v>
      </c>
      <c r="Q347" s="38">
        <f t="shared" si="257"/>
        <v>-3220</v>
      </c>
      <c r="R347" s="38">
        <f t="shared" si="257"/>
        <v>-3607</v>
      </c>
      <c r="S347" s="38">
        <f t="shared" si="257"/>
        <v>-1766</v>
      </c>
      <c r="T347" s="38">
        <f t="shared" si="257"/>
        <v>1505</v>
      </c>
      <c r="U347" s="38">
        <f t="shared" si="257"/>
        <v>-1683</v>
      </c>
      <c r="V347" s="38">
        <f t="shared" si="257"/>
        <v>-110</v>
      </c>
      <c r="W347" s="38">
        <f t="shared" si="257"/>
        <v>-307</v>
      </c>
      <c r="X347" s="38">
        <f t="shared" si="257"/>
        <v>289</v>
      </c>
      <c r="Y347" s="38">
        <f t="shared" si="257"/>
        <v>-5184</v>
      </c>
      <c r="Z347" s="38">
        <f t="shared" si="257"/>
        <v>2066</v>
      </c>
      <c r="AA347" s="38">
        <f t="shared" si="257"/>
        <v>-421</v>
      </c>
      <c r="AB347" s="38">
        <f t="shared" si="257"/>
        <v>-161</v>
      </c>
      <c r="AC347" s="38">
        <f aca="true" t="shared" si="258" ref="AC347:AQ347">AC348+AC354</f>
        <v>802</v>
      </c>
      <c r="AD347" s="38">
        <f t="shared" si="258"/>
        <v>720</v>
      </c>
      <c r="AE347" s="38">
        <f t="shared" si="258"/>
        <v>55.89999999999998</v>
      </c>
      <c r="AF347" s="38">
        <f t="shared" si="258"/>
        <v>1036.7</v>
      </c>
      <c r="AG347" s="38">
        <f t="shared" si="258"/>
        <v>49.5</v>
      </c>
      <c r="AH347" s="38">
        <f t="shared" si="258"/>
        <v>874</v>
      </c>
      <c r="AI347" s="38">
        <f t="shared" si="258"/>
        <v>441.20000000000005</v>
      </c>
      <c r="AJ347" s="38">
        <f t="shared" si="258"/>
        <v>12.200000000000003</v>
      </c>
      <c r="AK347" s="38">
        <f t="shared" si="258"/>
        <v>-72.89999999999999</v>
      </c>
      <c r="AL347" s="38">
        <f t="shared" si="258"/>
        <v>29.80000000000001</v>
      </c>
      <c r="AM347" s="38">
        <f t="shared" si="258"/>
        <v>-563.5</v>
      </c>
      <c r="AN347" s="38" t="e">
        <f t="shared" si="258"/>
        <v>#N/A</v>
      </c>
      <c r="AO347" s="38">
        <f t="shared" si="258"/>
        <v>0</v>
      </c>
      <c r="AP347" s="38">
        <f t="shared" si="258"/>
        <v>0</v>
      </c>
      <c r="AQ347" s="38">
        <f t="shared" si="258"/>
        <v>0</v>
      </c>
      <c r="AR347" s="38">
        <f>AR348+AR354</f>
        <v>0</v>
      </c>
      <c r="AS347" s="38">
        <f>AS348+AS354</f>
        <v>0</v>
      </c>
      <c r="AT347" s="38">
        <f>AT348+AT354</f>
        <v>0</v>
      </c>
      <c r="AU347" s="38">
        <f>AU348+AU354</f>
        <v>0</v>
      </c>
    </row>
    <row r="348" spans="1:47" s="2" customFormat="1" ht="12.75">
      <c r="A348" s="28" t="s">
        <v>207</v>
      </c>
      <c r="B348" s="29">
        <f aca="true" t="shared" si="259" ref="B348:Q348">B349+B350+B351+B352+B353</f>
        <v>117.7</v>
      </c>
      <c r="C348" s="29">
        <f t="shared" si="259"/>
        <v>66.5</v>
      </c>
      <c r="D348" s="29">
        <f t="shared" si="259"/>
        <v>136.7</v>
      </c>
      <c r="E348" s="29">
        <f t="shared" si="259"/>
        <v>56.5</v>
      </c>
      <c r="F348" s="29">
        <f t="shared" si="259"/>
        <v>19</v>
      </c>
      <c r="G348" s="29">
        <f t="shared" si="259"/>
        <v>30.200000000000003</v>
      </c>
      <c r="H348" s="29">
        <f t="shared" si="259"/>
        <v>85.1</v>
      </c>
      <c r="I348" s="29">
        <f t="shared" si="259"/>
        <v>167.2</v>
      </c>
      <c r="J348" s="29">
        <f t="shared" si="259"/>
        <v>274.5</v>
      </c>
      <c r="K348" s="29">
        <f t="shared" si="259"/>
        <v>496.70000000000005</v>
      </c>
      <c r="L348" s="29">
        <f t="shared" si="259"/>
        <v>569.8</v>
      </c>
      <c r="M348" s="29">
        <f t="shared" si="259"/>
        <v>674.3000000000001</v>
      </c>
      <c r="N348" s="29">
        <f t="shared" si="259"/>
        <v>1014</v>
      </c>
      <c r="O348" s="29">
        <f t="shared" si="259"/>
        <v>1064</v>
      </c>
      <c r="P348" s="29">
        <f t="shared" si="259"/>
        <v>1505</v>
      </c>
      <c r="Q348" s="29">
        <f t="shared" si="259"/>
        <v>702</v>
      </c>
      <c r="R348" s="29">
        <f aca="true" t="shared" si="260" ref="R348:W348">R349+R350+R351+R352+R353</f>
        <v>961</v>
      </c>
      <c r="S348" s="29">
        <f t="shared" si="260"/>
        <v>1709</v>
      </c>
      <c r="T348" s="29">
        <f t="shared" si="260"/>
        <v>3618</v>
      </c>
      <c r="U348" s="29">
        <f t="shared" si="260"/>
        <v>2274</v>
      </c>
      <c r="V348" s="29">
        <f t="shared" si="260"/>
        <v>1225</v>
      </c>
      <c r="W348" s="29">
        <f t="shared" si="260"/>
        <v>648</v>
      </c>
      <c r="X348" s="29">
        <f aca="true" t="shared" si="261" ref="X348:AO348">X349+X350+X351+X352+X353</f>
        <v>1091</v>
      </c>
      <c r="Y348" s="29">
        <f t="shared" si="261"/>
        <v>309</v>
      </c>
      <c r="Z348" s="29">
        <f t="shared" si="261"/>
        <v>2705</v>
      </c>
      <c r="AA348" s="29">
        <f t="shared" si="261"/>
        <v>139</v>
      </c>
      <c r="AB348" s="29">
        <f t="shared" si="261"/>
        <v>214</v>
      </c>
      <c r="AC348" s="29">
        <f t="shared" si="261"/>
        <v>1044</v>
      </c>
      <c r="AD348" s="29">
        <f t="shared" si="261"/>
        <v>904</v>
      </c>
      <c r="AE348" s="29">
        <f t="shared" si="261"/>
        <v>248.6</v>
      </c>
      <c r="AF348" s="29">
        <f t="shared" si="261"/>
        <v>1163</v>
      </c>
      <c r="AG348" s="29">
        <f t="shared" si="261"/>
        <v>143</v>
      </c>
      <c r="AH348" s="29">
        <f t="shared" si="261"/>
        <v>915.8</v>
      </c>
      <c r="AI348" s="29">
        <f t="shared" si="261"/>
        <v>646.7</v>
      </c>
      <c r="AJ348" s="29">
        <f t="shared" si="261"/>
        <v>43.5</v>
      </c>
      <c r="AK348" s="29">
        <f t="shared" si="261"/>
        <v>0.9</v>
      </c>
      <c r="AL348" s="29">
        <f t="shared" si="261"/>
        <v>302.1</v>
      </c>
      <c r="AM348" s="29">
        <f t="shared" si="261"/>
        <v>498.70000000000005</v>
      </c>
      <c r="AN348" s="29" t="e">
        <f t="shared" si="261"/>
        <v>#N/A</v>
      </c>
      <c r="AO348" s="29">
        <f t="shared" si="261"/>
        <v>0</v>
      </c>
      <c r="AP348" s="29">
        <f aca="true" t="shared" si="262" ref="AP348:AU348">AP349+AP350+AP351+AP352+AP353</f>
        <v>0</v>
      </c>
      <c r="AQ348" s="29">
        <f t="shared" si="262"/>
        <v>0</v>
      </c>
      <c r="AR348" s="29">
        <f t="shared" si="262"/>
        <v>0</v>
      </c>
      <c r="AS348" s="29">
        <f t="shared" si="262"/>
        <v>0</v>
      </c>
      <c r="AT348" s="29">
        <f t="shared" si="262"/>
        <v>0</v>
      </c>
      <c r="AU348" s="29">
        <f t="shared" si="262"/>
        <v>0</v>
      </c>
    </row>
    <row r="349" spans="1:47" s="2" customFormat="1" ht="12.75">
      <c r="A349" s="39" t="s">
        <v>208</v>
      </c>
      <c r="B349" s="31">
        <v>117.7</v>
      </c>
      <c r="C349" s="31">
        <v>64.7</v>
      </c>
      <c r="D349" s="31">
        <v>134</v>
      </c>
      <c r="E349" s="31">
        <v>54.5</v>
      </c>
      <c r="F349" s="31">
        <v>14.8</v>
      </c>
      <c r="G349" s="31">
        <v>27.6</v>
      </c>
      <c r="H349" s="31">
        <v>80.3</v>
      </c>
      <c r="I349" s="31">
        <v>146.6</v>
      </c>
      <c r="J349" s="31">
        <v>256.9</v>
      </c>
      <c r="K349" s="31">
        <v>474.6</v>
      </c>
      <c r="L349" s="31">
        <v>536.8</v>
      </c>
      <c r="M349" s="31">
        <v>624.1</v>
      </c>
      <c r="N349" s="31">
        <v>958</v>
      </c>
      <c r="O349" s="31">
        <v>978</v>
      </c>
      <c r="P349" s="31">
        <v>1296</v>
      </c>
      <c r="Q349" s="31">
        <v>257</v>
      </c>
      <c r="R349" s="31">
        <v>300</v>
      </c>
      <c r="S349" s="31">
        <v>560</v>
      </c>
      <c r="T349" s="31">
        <v>1755</v>
      </c>
      <c r="U349" s="31">
        <v>619</v>
      </c>
      <c r="V349" s="31">
        <v>3</v>
      </c>
      <c r="W349" s="31">
        <v>5</v>
      </c>
      <c r="X349" s="31">
        <v>441</v>
      </c>
      <c r="Y349" s="31">
        <v>130</v>
      </c>
      <c r="Z349" s="31">
        <v>87</v>
      </c>
      <c r="AA349" s="31">
        <v>17</v>
      </c>
      <c r="AB349" s="31">
        <v>9</v>
      </c>
      <c r="AC349" s="31">
        <v>4</v>
      </c>
      <c r="AD349" s="31">
        <v>5</v>
      </c>
      <c r="AE349" s="31">
        <v>5.7</v>
      </c>
      <c r="AF349" s="31">
        <v>55.6</v>
      </c>
      <c r="AG349" s="31">
        <v>0.9</v>
      </c>
      <c r="AH349" s="31">
        <v>3.1</v>
      </c>
      <c r="AI349" s="31">
        <v>0.8</v>
      </c>
      <c r="AJ349" s="31">
        <v>0</v>
      </c>
      <c r="AK349" s="31">
        <v>0</v>
      </c>
      <c r="AL349" s="31">
        <v>138.5</v>
      </c>
      <c r="AM349" s="31">
        <v>459.6</v>
      </c>
      <c r="AN349" s="31" t="e">
        <f>NA()</f>
        <v>#N/A</v>
      </c>
      <c r="AO349" s="31"/>
      <c r="AP349" s="31"/>
      <c r="AQ349" s="31"/>
      <c r="AR349" s="31"/>
      <c r="AS349" s="31"/>
      <c r="AT349" s="31"/>
      <c r="AU349" s="31"/>
    </row>
    <row r="350" spans="1:47" s="2" customFormat="1" ht="12.75">
      <c r="A350" s="39" t="s">
        <v>209</v>
      </c>
      <c r="B350" s="31">
        <v>0</v>
      </c>
      <c r="C350" s="31">
        <v>1.8</v>
      </c>
      <c r="D350" s="31">
        <v>2.7</v>
      </c>
      <c r="E350" s="31">
        <v>2</v>
      </c>
      <c r="F350" s="31">
        <v>4.2</v>
      </c>
      <c r="G350" s="31">
        <v>2.6</v>
      </c>
      <c r="H350" s="31">
        <v>4.8</v>
      </c>
      <c r="I350" s="31">
        <v>20.6</v>
      </c>
      <c r="J350" s="31">
        <v>17.6</v>
      </c>
      <c r="K350" s="31">
        <v>22.1</v>
      </c>
      <c r="L350" s="31">
        <v>33</v>
      </c>
      <c r="M350" s="31">
        <v>50.2</v>
      </c>
      <c r="N350" s="31">
        <v>56</v>
      </c>
      <c r="O350" s="31">
        <v>86</v>
      </c>
      <c r="P350" s="31">
        <v>209</v>
      </c>
      <c r="Q350" s="31">
        <v>445</v>
      </c>
      <c r="R350" s="31">
        <v>661</v>
      </c>
      <c r="S350" s="31">
        <v>617</v>
      </c>
      <c r="T350" s="31">
        <v>759</v>
      </c>
      <c r="U350" s="31">
        <v>547</v>
      </c>
      <c r="V350" s="31">
        <v>172</v>
      </c>
      <c r="W350" s="31">
        <v>5</v>
      </c>
      <c r="X350" s="31">
        <v>32</v>
      </c>
      <c r="Y350" s="31">
        <v>7</v>
      </c>
      <c r="Z350" s="31">
        <v>0</v>
      </c>
      <c r="AA350" s="31">
        <v>0</v>
      </c>
      <c r="AB350" s="31">
        <v>0</v>
      </c>
      <c r="AC350" s="31">
        <v>0</v>
      </c>
      <c r="AD350" s="31">
        <v>0</v>
      </c>
      <c r="AE350" s="31">
        <v>7</v>
      </c>
      <c r="AF350" s="31">
        <v>3.1</v>
      </c>
      <c r="AG350" s="31">
        <v>0.2</v>
      </c>
      <c r="AH350" s="31">
        <v>2.7</v>
      </c>
      <c r="AI350" s="31">
        <v>0</v>
      </c>
      <c r="AJ350" s="31">
        <v>0</v>
      </c>
      <c r="AK350" s="31">
        <v>0</v>
      </c>
      <c r="AL350" s="31">
        <v>6.5</v>
      </c>
      <c r="AM350" s="31">
        <v>0</v>
      </c>
      <c r="AN350" s="31" t="e">
        <f>NA()</f>
        <v>#N/A</v>
      </c>
      <c r="AO350" s="31"/>
      <c r="AP350" s="31"/>
      <c r="AQ350" s="31"/>
      <c r="AR350" s="31"/>
      <c r="AS350" s="31"/>
      <c r="AT350" s="31"/>
      <c r="AU350" s="31"/>
    </row>
    <row r="351" spans="1:47" s="2" customFormat="1" ht="12.75">
      <c r="A351" s="39" t="s">
        <v>210</v>
      </c>
      <c r="B351" s="31">
        <v>0</v>
      </c>
      <c r="C351" s="31">
        <v>0</v>
      </c>
      <c r="D351" s="31">
        <v>0</v>
      </c>
      <c r="E351" s="31">
        <v>0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>
        <v>532</v>
      </c>
      <c r="T351" s="31">
        <v>1104</v>
      </c>
      <c r="U351" s="31">
        <v>515</v>
      </c>
      <c r="V351" s="31">
        <v>942</v>
      </c>
      <c r="W351" s="31">
        <v>480</v>
      </c>
      <c r="X351" s="31">
        <v>618</v>
      </c>
      <c r="Y351" s="31">
        <v>172</v>
      </c>
      <c r="Z351" s="31">
        <v>2618</v>
      </c>
      <c r="AA351" s="31">
        <v>122</v>
      </c>
      <c r="AB351" s="31">
        <v>205</v>
      </c>
      <c r="AC351" s="31">
        <v>1040</v>
      </c>
      <c r="AD351" s="31">
        <v>899</v>
      </c>
      <c r="AE351" s="31">
        <v>142.8</v>
      </c>
      <c r="AF351" s="31">
        <v>1104.3</v>
      </c>
      <c r="AG351" s="31">
        <v>141.9</v>
      </c>
      <c r="AH351" s="31">
        <v>910</v>
      </c>
      <c r="AI351" s="31">
        <v>500.9</v>
      </c>
      <c r="AJ351" s="31">
        <v>43.5</v>
      </c>
      <c r="AK351" s="31">
        <v>0.9</v>
      </c>
      <c r="AL351" s="31">
        <v>157.1</v>
      </c>
      <c r="AM351" s="31">
        <v>39.1</v>
      </c>
      <c r="AN351" s="31" t="e">
        <f>NA()</f>
        <v>#N/A</v>
      </c>
      <c r="AO351" s="31"/>
      <c r="AP351" s="31"/>
      <c r="AQ351" s="31"/>
      <c r="AR351" s="31"/>
      <c r="AS351" s="31"/>
      <c r="AT351" s="31"/>
      <c r="AU351" s="31"/>
    </row>
    <row r="352" spans="1:47" s="2" customFormat="1" ht="12.75">
      <c r="A352" s="39" t="s">
        <v>211</v>
      </c>
      <c r="B352" s="31">
        <v>0</v>
      </c>
      <c r="C352" s="31">
        <v>0</v>
      </c>
      <c r="D352" s="31">
        <v>0</v>
      </c>
      <c r="E352" s="31">
        <v>0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0</v>
      </c>
      <c r="S352" s="31">
        <v>0</v>
      </c>
      <c r="T352" s="31">
        <v>0</v>
      </c>
      <c r="U352" s="31">
        <v>593</v>
      </c>
      <c r="V352" s="31">
        <v>108</v>
      </c>
      <c r="W352" s="31">
        <v>158</v>
      </c>
      <c r="X352" s="31">
        <v>0</v>
      </c>
      <c r="Y352" s="31">
        <v>0</v>
      </c>
      <c r="Z352" s="31">
        <v>0</v>
      </c>
      <c r="AA352" s="31">
        <v>0</v>
      </c>
      <c r="AB352" s="31">
        <v>0</v>
      </c>
      <c r="AC352" s="31">
        <v>0</v>
      </c>
      <c r="AD352" s="31">
        <v>0</v>
      </c>
      <c r="AE352" s="31">
        <v>0</v>
      </c>
      <c r="AF352" s="31">
        <v>0</v>
      </c>
      <c r="AG352" s="31">
        <v>0</v>
      </c>
      <c r="AH352" s="31">
        <v>0</v>
      </c>
      <c r="AI352" s="31">
        <v>0</v>
      </c>
      <c r="AJ352" s="31">
        <v>0</v>
      </c>
      <c r="AK352" s="31">
        <v>0</v>
      </c>
      <c r="AL352" s="31">
        <v>0</v>
      </c>
      <c r="AM352" s="31">
        <v>0</v>
      </c>
      <c r="AN352" s="31" t="e">
        <f>NA()</f>
        <v>#N/A</v>
      </c>
      <c r="AO352" s="31"/>
      <c r="AP352" s="31"/>
      <c r="AQ352" s="31"/>
      <c r="AR352" s="31"/>
      <c r="AS352" s="31"/>
      <c r="AT352" s="31"/>
      <c r="AU352" s="31"/>
    </row>
    <row r="353" spans="1:47" s="2" customFormat="1" ht="12.75">
      <c r="A353" s="30" t="s">
        <v>212</v>
      </c>
      <c r="B353" s="31">
        <v>0</v>
      </c>
      <c r="C353" s="31">
        <v>0</v>
      </c>
      <c r="D353" s="31">
        <v>0</v>
      </c>
      <c r="E353" s="31">
        <v>0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>
        <v>0</v>
      </c>
      <c r="T353" s="31">
        <v>0</v>
      </c>
      <c r="U353" s="31">
        <v>0</v>
      </c>
      <c r="V353" s="31">
        <v>0</v>
      </c>
      <c r="W353" s="31">
        <v>0</v>
      </c>
      <c r="X353" s="31">
        <v>0</v>
      </c>
      <c r="Y353" s="31">
        <v>0</v>
      </c>
      <c r="Z353" s="31">
        <v>0</v>
      </c>
      <c r="AA353" s="31">
        <v>0</v>
      </c>
      <c r="AB353" s="31">
        <v>0</v>
      </c>
      <c r="AC353" s="31">
        <v>0</v>
      </c>
      <c r="AD353" s="31">
        <v>0</v>
      </c>
      <c r="AE353" s="31">
        <v>93.1</v>
      </c>
      <c r="AF353" s="31">
        <v>0</v>
      </c>
      <c r="AG353" s="31">
        <v>0</v>
      </c>
      <c r="AH353" s="31">
        <v>0</v>
      </c>
      <c r="AI353" s="31">
        <v>145</v>
      </c>
      <c r="AJ353" s="31">
        <v>0</v>
      </c>
      <c r="AK353" s="31">
        <v>0</v>
      </c>
      <c r="AL353" s="31">
        <v>0</v>
      </c>
      <c r="AM353" s="31">
        <v>0</v>
      </c>
      <c r="AN353" s="31" t="e">
        <f>NA()</f>
        <v>#N/A</v>
      </c>
      <c r="AO353" s="31"/>
      <c r="AP353" s="31"/>
      <c r="AQ353" s="31"/>
      <c r="AR353" s="31"/>
      <c r="AS353" s="31"/>
      <c r="AT353" s="31"/>
      <c r="AU353" s="31"/>
    </row>
    <row r="354" spans="1:47" s="2" customFormat="1" ht="12.75">
      <c r="A354" s="51" t="s">
        <v>213</v>
      </c>
      <c r="B354" s="29">
        <f aca="true" t="shared" si="263" ref="B354:Q354">B355+B356+B357+B358+B359+B360</f>
        <v>-48.9</v>
      </c>
      <c r="C354" s="29">
        <f t="shared" si="263"/>
        <v>-49.9</v>
      </c>
      <c r="D354" s="29">
        <f t="shared" si="263"/>
        <v>-47.300000000000004</v>
      </c>
      <c r="E354" s="29">
        <f t="shared" si="263"/>
        <v>-54.300000000000004</v>
      </c>
      <c r="F354" s="29">
        <f t="shared" si="263"/>
        <v>-59.1</v>
      </c>
      <c r="G354" s="29">
        <f t="shared" si="263"/>
        <v>-75.39999999999999</v>
      </c>
      <c r="H354" s="29">
        <f t="shared" si="263"/>
        <v>-65.9</v>
      </c>
      <c r="I354" s="29">
        <f t="shared" si="263"/>
        <v>-47.5</v>
      </c>
      <c r="J354" s="29">
        <f t="shared" si="263"/>
        <v>-60.3</v>
      </c>
      <c r="K354" s="29">
        <f t="shared" si="263"/>
        <v>-112.60000000000001</v>
      </c>
      <c r="L354" s="29">
        <f t="shared" si="263"/>
        <v>-171</v>
      </c>
      <c r="M354" s="29">
        <f t="shared" si="263"/>
        <v>-260.9</v>
      </c>
      <c r="N354" s="29">
        <f t="shared" si="263"/>
        <v>-346</v>
      </c>
      <c r="O354" s="29">
        <f t="shared" si="263"/>
        <v>-472</v>
      </c>
      <c r="P354" s="29">
        <f t="shared" si="263"/>
        <v>-580</v>
      </c>
      <c r="Q354" s="29">
        <f t="shared" si="263"/>
        <v>-3922</v>
      </c>
      <c r="R354" s="29">
        <f aca="true" t="shared" si="264" ref="R354:AG354">R355+R356+R357+R358+R359+R360</f>
        <v>-4568</v>
      </c>
      <c r="S354" s="29">
        <f t="shared" si="264"/>
        <v>-3475</v>
      </c>
      <c r="T354" s="29">
        <f t="shared" si="264"/>
        <v>-2113</v>
      </c>
      <c r="U354" s="29">
        <f t="shared" si="264"/>
        <v>-3957</v>
      </c>
      <c r="V354" s="29">
        <f t="shared" si="264"/>
        <v>-1335</v>
      </c>
      <c r="W354" s="29">
        <f t="shared" si="264"/>
        <v>-955</v>
      </c>
      <c r="X354" s="29">
        <f t="shared" si="264"/>
        <v>-802</v>
      </c>
      <c r="Y354" s="29">
        <f t="shared" si="264"/>
        <v>-5493</v>
      </c>
      <c r="Z354" s="29">
        <f t="shared" si="264"/>
        <v>-639</v>
      </c>
      <c r="AA354" s="29">
        <f t="shared" si="264"/>
        <v>-560</v>
      </c>
      <c r="AB354" s="29">
        <f t="shared" si="264"/>
        <v>-375</v>
      </c>
      <c r="AC354" s="29">
        <f t="shared" si="264"/>
        <v>-242</v>
      </c>
      <c r="AD354" s="29">
        <f t="shared" si="264"/>
        <v>-184</v>
      </c>
      <c r="AE354" s="29">
        <f t="shared" si="264"/>
        <v>-192.70000000000002</v>
      </c>
      <c r="AF354" s="29">
        <f t="shared" si="264"/>
        <v>-126.3</v>
      </c>
      <c r="AG354" s="29">
        <f t="shared" si="264"/>
        <v>-93.5</v>
      </c>
      <c r="AH354" s="29">
        <f aca="true" t="shared" si="265" ref="AH354:AS354">AH355+AH356+AH357+AH358+AH359+AH360</f>
        <v>-41.800000000000004</v>
      </c>
      <c r="AI354" s="29">
        <f t="shared" si="265"/>
        <v>-205.5</v>
      </c>
      <c r="AJ354" s="29">
        <f t="shared" si="265"/>
        <v>-31.299999999999997</v>
      </c>
      <c r="AK354" s="29">
        <f t="shared" si="265"/>
        <v>-73.8</v>
      </c>
      <c r="AL354" s="29">
        <f t="shared" si="265"/>
        <v>-272.3</v>
      </c>
      <c r="AM354" s="29">
        <f t="shared" si="265"/>
        <v>-1062.2</v>
      </c>
      <c r="AN354" s="29" t="e">
        <f t="shared" si="265"/>
        <v>#N/A</v>
      </c>
      <c r="AO354" s="29">
        <f t="shared" si="265"/>
        <v>0</v>
      </c>
      <c r="AP354" s="29">
        <f t="shared" si="265"/>
        <v>0</v>
      </c>
      <c r="AQ354" s="29">
        <f t="shared" si="265"/>
        <v>0</v>
      </c>
      <c r="AR354" s="29">
        <f t="shared" si="265"/>
        <v>0</v>
      </c>
      <c r="AS354" s="29">
        <f t="shared" si="265"/>
        <v>0</v>
      </c>
      <c r="AT354" s="29">
        <f>AT355+AT356+AT357+AT358+AT359+AT360</f>
        <v>0</v>
      </c>
      <c r="AU354" s="29">
        <f>AU355+AU356+AU357+AU358+AU359+AU360</f>
        <v>0</v>
      </c>
    </row>
    <row r="355" spans="1:47" s="2" customFormat="1" ht="12.75">
      <c r="A355" s="39" t="s">
        <v>214</v>
      </c>
      <c r="B355" s="31">
        <v>-48.9</v>
      </c>
      <c r="C355" s="31">
        <v>-49.3</v>
      </c>
      <c r="D355" s="31">
        <v>-47.2</v>
      </c>
      <c r="E355" s="31">
        <v>-54.2</v>
      </c>
      <c r="F355" s="31">
        <v>-59</v>
      </c>
      <c r="G355" s="31">
        <v>-73.2</v>
      </c>
      <c r="H355" s="31">
        <v>-61.1</v>
      </c>
      <c r="I355" s="31">
        <v>-41</v>
      </c>
      <c r="J355" s="31">
        <v>-55.3</v>
      </c>
      <c r="K355" s="31">
        <v>-102.9</v>
      </c>
      <c r="L355" s="31">
        <v>-155.3</v>
      </c>
      <c r="M355" s="31">
        <v>-248.6</v>
      </c>
      <c r="N355" s="31">
        <v>-326</v>
      </c>
      <c r="O355" s="31">
        <v>-455</v>
      </c>
      <c r="P355" s="31">
        <v>-541</v>
      </c>
      <c r="Q355" s="31">
        <v>-1313</v>
      </c>
      <c r="R355" s="31">
        <v>-729</v>
      </c>
      <c r="S355" s="31">
        <v>-711</v>
      </c>
      <c r="T355" s="31">
        <v>-680</v>
      </c>
      <c r="U355" s="31">
        <v>-604</v>
      </c>
      <c r="V355" s="31">
        <v>-938</v>
      </c>
      <c r="W355" s="31">
        <v>-933</v>
      </c>
      <c r="X355" s="31">
        <v>-635</v>
      </c>
      <c r="Y355" s="31">
        <v>-5397</v>
      </c>
      <c r="Z355" s="31">
        <v>-519</v>
      </c>
      <c r="AA355" s="31">
        <v>-444</v>
      </c>
      <c r="AB355" s="31">
        <v>-329</v>
      </c>
      <c r="AC355" s="31">
        <v>-194</v>
      </c>
      <c r="AD355" s="31">
        <v>-147</v>
      </c>
      <c r="AE355" s="31">
        <v>-130</v>
      </c>
      <c r="AF355" s="31">
        <v>-116.6</v>
      </c>
      <c r="AG355" s="31">
        <v>-93.5</v>
      </c>
      <c r="AH355" s="31">
        <v>-39.2</v>
      </c>
      <c r="AI355" s="31">
        <v>-44.5</v>
      </c>
      <c r="AJ355" s="31">
        <v>-30.4</v>
      </c>
      <c r="AK355" s="31">
        <v>-30.9</v>
      </c>
      <c r="AL355" s="31">
        <v>-176.6</v>
      </c>
      <c r="AM355" s="31">
        <v>-963.7</v>
      </c>
      <c r="AN355" s="31" t="e">
        <f>NA()</f>
        <v>#N/A</v>
      </c>
      <c r="AO355" s="31"/>
      <c r="AP355" s="31"/>
      <c r="AQ355" s="31"/>
      <c r="AR355" s="31"/>
      <c r="AS355" s="31"/>
      <c r="AT355" s="31"/>
      <c r="AU355" s="31"/>
    </row>
    <row r="356" spans="1:47" s="2" customFormat="1" ht="12.75">
      <c r="A356" s="39" t="s">
        <v>215</v>
      </c>
      <c r="B356" s="31">
        <v>0</v>
      </c>
      <c r="C356" s="31">
        <v>0</v>
      </c>
      <c r="D356" s="31">
        <v>0</v>
      </c>
      <c r="E356" s="31">
        <v>0</v>
      </c>
      <c r="F356" s="31">
        <v>0</v>
      </c>
      <c r="G356" s="31">
        <v>-2.1</v>
      </c>
      <c r="H356" s="31">
        <v>-4.4</v>
      </c>
      <c r="I356" s="31">
        <v>-4.4</v>
      </c>
      <c r="J356" s="31">
        <v>-3.3</v>
      </c>
      <c r="K356" s="31">
        <v>-7.7</v>
      </c>
      <c r="L356" s="31">
        <v>-9.5</v>
      </c>
      <c r="M356" s="31">
        <v>-9.1</v>
      </c>
      <c r="N356" s="31">
        <v>-19</v>
      </c>
      <c r="O356" s="31">
        <v>-12</v>
      </c>
      <c r="P356" s="31">
        <v>-18</v>
      </c>
      <c r="Q356" s="31">
        <v>-46</v>
      </c>
      <c r="R356" s="31">
        <v>-245</v>
      </c>
      <c r="S356" s="31">
        <v>-137</v>
      </c>
      <c r="T356" s="31">
        <v>-341</v>
      </c>
      <c r="U356" s="31">
        <v>-2440</v>
      </c>
      <c r="V356" s="31">
        <v>-292</v>
      </c>
      <c r="W356" s="31">
        <v>-20</v>
      </c>
      <c r="X356" s="31">
        <v>-167</v>
      </c>
      <c r="Y356" s="31">
        <v>-84</v>
      </c>
      <c r="Z356" s="31">
        <v>-120</v>
      </c>
      <c r="AA356" s="31">
        <v>-115</v>
      </c>
      <c r="AB356" s="31">
        <v>-46</v>
      </c>
      <c r="AC356" s="31">
        <v>-38</v>
      </c>
      <c r="AD356" s="31">
        <v>-37</v>
      </c>
      <c r="AE356" s="31">
        <v>-59.8</v>
      </c>
      <c r="AF356" s="31">
        <v>-4.9</v>
      </c>
      <c r="AG356" s="31">
        <v>0</v>
      </c>
      <c r="AH356" s="31">
        <v>-2.2</v>
      </c>
      <c r="AI356" s="31">
        <v>0</v>
      </c>
      <c r="AJ356" s="31">
        <v>-0.5</v>
      </c>
      <c r="AK356" s="31">
        <v>0</v>
      </c>
      <c r="AL356" s="31">
        <v>0</v>
      </c>
      <c r="AM356" s="31">
        <v>-12</v>
      </c>
      <c r="AN356" s="31" t="e">
        <f>NA()</f>
        <v>#N/A</v>
      </c>
      <c r="AO356" s="31"/>
      <c r="AP356" s="31"/>
      <c r="AQ356" s="31"/>
      <c r="AR356" s="31"/>
      <c r="AS356" s="31"/>
      <c r="AT356" s="31"/>
      <c r="AU356" s="31"/>
    </row>
    <row r="357" spans="1:47" s="2" customFormat="1" ht="12.75">
      <c r="A357" s="39" t="s">
        <v>216</v>
      </c>
      <c r="B357" s="31">
        <v>0</v>
      </c>
      <c r="C357" s="31">
        <v>-0.6</v>
      </c>
      <c r="D357" s="31">
        <v>-0.1</v>
      </c>
      <c r="E357" s="31">
        <v>-0.1</v>
      </c>
      <c r="F357" s="31">
        <v>-0.1</v>
      </c>
      <c r="G357" s="31">
        <v>-0.1</v>
      </c>
      <c r="H357" s="31">
        <v>-0.4</v>
      </c>
      <c r="I357" s="31">
        <v>-2.1</v>
      </c>
      <c r="J357" s="31">
        <v>-1.7</v>
      </c>
      <c r="K357" s="31">
        <v>-2</v>
      </c>
      <c r="L357" s="31">
        <v>-6.2</v>
      </c>
      <c r="M357" s="31">
        <v>-3.2</v>
      </c>
      <c r="N357" s="31">
        <v>-1</v>
      </c>
      <c r="O357" s="31">
        <v>-5</v>
      </c>
      <c r="P357" s="31">
        <v>-1</v>
      </c>
      <c r="Q357" s="31">
        <v>-2388</v>
      </c>
      <c r="R357" s="31">
        <v>-2941</v>
      </c>
      <c r="S357" s="31">
        <v>-1786</v>
      </c>
      <c r="T357" s="31">
        <v>-1092</v>
      </c>
      <c r="U357" s="31">
        <v>-417</v>
      </c>
      <c r="V357" s="31">
        <v>-99</v>
      </c>
      <c r="W357" s="31">
        <v>0</v>
      </c>
      <c r="X357" s="31">
        <v>0</v>
      </c>
      <c r="Y357" s="31">
        <v>-12</v>
      </c>
      <c r="Z357" s="31">
        <v>0</v>
      </c>
      <c r="AA357" s="31">
        <v>-1</v>
      </c>
      <c r="AB357" s="31">
        <v>0</v>
      </c>
      <c r="AC357" s="31">
        <v>-10</v>
      </c>
      <c r="AD357" s="31">
        <v>0</v>
      </c>
      <c r="AE357" s="31">
        <v>-2.9</v>
      </c>
      <c r="AF357" s="31">
        <v>-4.8</v>
      </c>
      <c r="AG357" s="31">
        <v>0</v>
      </c>
      <c r="AH357" s="31">
        <v>-0.4</v>
      </c>
      <c r="AI357" s="31">
        <v>-159.4</v>
      </c>
      <c r="AJ357" s="31">
        <v>-0.4</v>
      </c>
      <c r="AK357" s="31">
        <v>-42.9</v>
      </c>
      <c r="AL357" s="31">
        <v>-95.7</v>
      </c>
      <c r="AM357" s="31">
        <v>-86.5</v>
      </c>
      <c r="AN357" s="31" t="e">
        <f>NA()</f>
        <v>#N/A</v>
      </c>
      <c r="AO357" s="31"/>
      <c r="AP357" s="31"/>
      <c r="AQ357" s="31"/>
      <c r="AR357" s="31"/>
      <c r="AS357" s="31"/>
      <c r="AT357" s="31"/>
      <c r="AU357" s="31"/>
    </row>
    <row r="358" spans="1:47" s="2" customFormat="1" ht="12.75">
      <c r="A358" s="39" t="s">
        <v>217</v>
      </c>
      <c r="B358" s="31">
        <v>0</v>
      </c>
      <c r="C358" s="31">
        <v>0</v>
      </c>
      <c r="D358" s="31">
        <v>0</v>
      </c>
      <c r="E358" s="31">
        <v>0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0</v>
      </c>
      <c r="S358" s="31">
        <v>0</v>
      </c>
      <c r="T358" s="31">
        <v>0</v>
      </c>
      <c r="U358" s="31">
        <v>-496</v>
      </c>
      <c r="V358" s="31">
        <v>-6</v>
      </c>
      <c r="W358" s="31">
        <v>-2</v>
      </c>
      <c r="X358" s="31">
        <v>0</v>
      </c>
      <c r="Y358" s="31">
        <v>0</v>
      </c>
      <c r="Z358" s="31">
        <v>0</v>
      </c>
      <c r="AA358" s="31">
        <v>0</v>
      </c>
      <c r="AB358" s="31">
        <v>0</v>
      </c>
      <c r="AC358" s="31">
        <v>0</v>
      </c>
      <c r="AD358" s="31">
        <v>0</v>
      </c>
      <c r="AE358" s="31">
        <v>0</v>
      </c>
      <c r="AF358" s="31">
        <v>0</v>
      </c>
      <c r="AG358" s="31">
        <v>0</v>
      </c>
      <c r="AH358" s="31">
        <v>0</v>
      </c>
      <c r="AI358" s="31">
        <v>0</v>
      </c>
      <c r="AJ358" s="31">
        <v>0</v>
      </c>
      <c r="AK358" s="31">
        <v>0</v>
      </c>
      <c r="AL358" s="31">
        <v>0</v>
      </c>
      <c r="AM358" s="31">
        <v>0</v>
      </c>
      <c r="AN358" s="31" t="e">
        <f>NA()</f>
        <v>#N/A</v>
      </c>
      <c r="AO358" s="31"/>
      <c r="AP358" s="31"/>
      <c r="AQ358" s="31"/>
      <c r="AR358" s="31"/>
      <c r="AS358" s="31"/>
      <c r="AT358" s="31"/>
      <c r="AU358" s="31"/>
    </row>
    <row r="359" spans="1:47" s="2" customFormat="1" ht="12.75">
      <c r="A359" s="30" t="s">
        <v>218</v>
      </c>
      <c r="B359" s="31">
        <v>0</v>
      </c>
      <c r="C359" s="31">
        <v>0</v>
      </c>
      <c r="D359" s="31">
        <v>0</v>
      </c>
      <c r="E359" s="31">
        <v>0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>
        <v>0</v>
      </c>
      <c r="T359" s="31">
        <v>0</v>
      </c>
      <c r="U359" s="31">
        <v>0</v>
      </c>
      <c r="V359" s="31">
        <v>0</v>
      </c>
      <c r="W359" s="31">
        <v>0</v>
      </c>
      <c r="X359" s="31">
        <v>0</v>
      </c>
      <c r="Y359" s="31">
        <v>0</v>
      </c>
      <c r="Z359" s="31">
        <v>0</v>
      </c>
      <c r="AA359" s="31">
        <v>0</v>
      </c>
      <c r="AB359" s="31">
        <v>0</v>
      </c>
      <c r="AC359" s="31">
        <v>0</v>
      </c>
      <c r="AD359" s="31">
        <v>0</v>
      </c>
      <c r="AE359" s="31">
        <v>0</v>
      </c>
      <c r="AF359" s="31">
        <v>0</v>
      </c>
      <c r="AG359" s="31">
        <v>0</v>
      </c>
      <c r="AH359" s="31">
        <v>0</v>
      </c>
      <c r="AI359" s="31">
        <v>-1.6</v>
      </c>
      <c r="AJ359" s="31">
        <v>0</v>
      </c>
      <c r="AK359" s="31">
        <v>0</v>
      </c>
      <c r="AL359" s="31">
        <v>0</v>
      </c>
      <c r="AM359" s="31">
        <v>0</v>
      </c>
      <c r="AN359" s="31" t="e">
        <f>NA()</f>
        <v>#N/A</v>
      </c>
      <c r="AO359" s="31"/>
      <c r="AP359" s="31"/>
      <c r="AQ359" s="31"/>
      <c r="AR359" s="31"/>
      <c r="AS359" s="31"/>
      <c r="AT359" s="31"/>
      <c r="AU359" s="31"/>
    </row>
    <row r="360" spans="1:47" s="2" customFormat="1" ht="12.75">
      <c r="A360" s="39" t="s">
        <v>219</v>
      </c>
      <c r="B360" s="31">
        <v>0</v>
      </c>
      <c r="C360" s="31">
        <v>0</v>
      </c>
      <c r="D360" s="31">
        <v>0</v>
      </c>
      <c r="E360" s="31">
        <v>0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-20</v>
      </c>
      <c r="Q360" s="31">
        <v>-175</v>
      </c>
      <c r="R360" s="31">
        <v>-653</v>
      </c>
      <c r="S360" s="31">
        <v>-841</v>
      </c>
      <c r="T360" s="31">
        <v>0</v>
      </c>
      <c r="U360" s="31">
        <v>0</v>
      </c>
      <c r="V360" s="31">
        <v>0</v>
      </c>
      <c r="W360" s="31">
        <v>0</v>
      </c>
      <c r="X360" s="31">
        <v>0</v>
      </c>
      <c r="Y360" s="31">
        <v>0</v>
      </c>
      <c r="Z360" s="31">
        <v>0</v>
      </c>
      <c r="AA360" s="31">
        <v>0</v>
      </c>
      <c r="AB360" s="31">
        <v>0</v>
      </c>
      <c r="AC360" s="31">
        <v>0</v>
      </c>
      <c r="AD360" s="31">
        <v>0</v>
      </c>
      <c r="AE360" s="31">
        <v>0</v>
      </c>
      <c r="AF360" s="31">
        <v>0</v>
      </c>
      <c r="AG360" s="31">
        <v>0</v>
      </c>
      <c r="AH360" s="31">
        <v>0</v>
      </c>
      <c r="AI360" s="31">
        <v>0</v>
      </c>
      <c r="AJ360" s="31">
        <v>0</v>
      </c>
      <c r="AK360" s="31">
        <v>0</v>
      </c>
      <c r="AL360" s="31">
        <v>0</v>
      </c>
      <c r="AM360" s="31">
        <v>0</v>
      </c>
      <c r="AN360" s="31" t="e">
        <f>NA()</f>
        <v>#N/A</v>
      </c>
      <c r="AO360" s="31"/>
      <c r="AP360" s="31"/>
      <c r="AQ360" s="31"/>
      <c r="AR360" s="31"/>
      <c r="AS360" s="31"/>
      <c r="AT360" s="31"/>
      <c r="AU360" s="31"/>
    </row>
    <row r="361" spans="1:47" s="2" customFormat="1" ht="12.75">
      <c r="A361" s="39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</row>
    <row r="362" spans="1:47" s="2" customFormat="1" ht="12.75">
      <c r="A362" s="67" t="s">
        <v>220</v>
      </c>
      <c r="B362" s="38">
        <v>-3.3</v>
      </c>
      <c r="C362" s="38">
        <v>-2.2</v>
      </c>
      <c r="D362" s="38">
        <v>-0.8</v>
      </c>
      <c r="E362" s="38">
        <v>0</v>
      </c>
      <c r="F362" s="38">
        <v>0</v>
      </c>
      <c r="G362" s="38">
        <v>0</v>
      </c>
      <c r="H362" s="38">
        <v>2.6</v>
      </c>
      <c r="I362" s="38">
        <v>-4.5</v>
      </c>
      <c r="J362" s="38">
        <v>-5</v>
      </c>
      <c r="K362" s="38">
        <v>-4.2</v>
      </c>
      <c r="L362" s="38">
        <v>0</v>
      </c>
      <c r="M362" s="38">
        <v>0</v>
      </c>
      <c r="N362" s="38">
        <v>-25</v>
      </c>
      <c r="O362" s="38">
        <v>4</v>
      </c>
      <c r="P362" s="38">
        <v>117</v>
      </c>
      <c r="Q362" s="38">
        <v>-187</v>
      </c>
      <c r="R362" s="38">
        <v>-391</v>
      </c>
      <c r="S362" s="38">
        <v>197</v>
      </c>
      <c r="T362" s="38">
        <v>-585</v>
      </c>
      <c r="U362" s="38">
        <v>-395</v>
      </c>
      <c r="V362" s="38">
        <v>-349</v>
      </c>
      <c r="W362" s="38">
        <v>855</v>
      </c>
      <c r="X362" s="38">
        <v>87</v>
      </c>
      <c r="Y362" s="38">
        <v>-63</v>
      </c>
      <c r="Z362" s="38">
        <v>-534</v>
      </c>
      <c r="AA362" s="38">
        <v>-72</v>
      </c>
      <c r="AB362" s="38">
        <v>-710</v>
      </c>
      <c r="AC362" s="38">
        <v>-347</v>
      </c>
      <c r="AD362" s="38">
        <v>249</v>
      </c>
      <c r="AE362" s="38">
        <v>-500.4</v>
      </c>
      <c r="AF362" s="38">
        <v>59.5</v>
      </c>
      <c r="AG362" s="38">
        <v>405.3</v>
      </c>
      <c r="AH362" s="38">
        <v>236.2</v>
      </c>
      <c r="AI362" s="38">
        <v>-274.3</v>
      </c>
      <c r="AJ362" s="38">
        <v>-771.9</v>
      </c>
      <c r="AK362" s="38">
        <f>3011.7--72.9</f>
        <v>3084.6</v>
      </c>
      <c r="AL362" s="38">
        <f>-563.8-29.8</f>
        <v>-593.5999999999999</v>
      </c>
      <c r="AM362" s="38">
        <f>-3585.3+563.5</f>
        <v>-3021.8</v>
      </c>
      <c r="AN362" s="38">
        <f>-1205.4</f>
        <v>-1205.4</v>
      </c>
      <c r="AO362" s="38"/>
      <c r="AP362" s="38"/>
      <c r="AQ362" s="38"/>
      <c r="AR362" s="38"/>
      <c r="AS362" s="38"/>
      <c r="AT362" s="38"/>
      <c r="AU362" s="38"/>
    </row>
    <row r="363" spans="1:47" s="2" customFormat="1" ht="12.75">
      <c r="A363" s="40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</row>
    <row r="364" spans="1:47" s="2" customFormat="1" ht="12.75">
      <c r="A364" s="41" t="s">
        <v>221</v>
      </c>
      <c r="B364" s="42">
        <f>B327+B347+B362</f>
        <v>-44.00000000000004</v>
      </c>
      <c r="C364" s="42">
        <f aca="true" t="shared" si="266" ref="C364:R364">C327+C347+C362</f>
        <v>-55.399999999999956</v>
      </c>
      <c r="D364" s="42">
        <f t="shared" si="266"/>
        <v>61.40000000000005</v>
      </c>
      <c r="E364" s="42">
        <f t="shared" si="266"/>
        <v>44.299999999999905</v>
      </c>
      <c r="F364" s="42">
        <f t="shared" si="266"/>
        <v>30.600000000000158</v>
      </c>
      <c r="G364" s="42">
        <f t="shared" si="266"/>
        <v>-103.00000000000006</v>
      </c>
      <c r="H364" s="42">
        <f t="shared" si="266"/>
        <v>-93.20000000000002</v>
      </c>
      <c r="I364" s="42">
        <f t="shared" si="266"/>
        <v>-33.2000000000001</v>
      </c>
      <c r="J364" s="42">
        <f t="shared" si="266"/>
        <v>-3.099999999999966</v>
      </c>
      <c r="K364" s="42">
        <f t="shared" si="266"/>
        <v>-99.69999999999989</v>
      </c>
      <c r="L364" s="42">
        <f t="shared" si="266"/>
        <v>-154.69999999999982</v>
      </c>
      <c r="M364" s="42">
        <f t="shared" si="266"/>
        <v>-261.5999999999997</v>
      </c>
      <c r="N364" s="42">
        <f t="shared" si="266"/>
        <v>362</v>
      </c>
      <c r="O364" s="42">
        <f t="shared" si="266"/>
        <v>431</v>
      </c>
      <c r="P364" s="42">
        <f>P327+P347+P362</f>
        <v>1387</v>
      </c>
      <c r="Q364" s="42">
        <f t="shared" si="266"/>
        <v>5076</v>
      </c>
      <c r="R364" s="42">
        <f t="shared" si="266"/>
        <v>-1084</v>
      </c>
      <c r="S364" s="42">
        <f aca="true" t="shared" si="267" ref="S364:AH364">S327+S347+S362</f>
        <v>2288</v>
      </c>
      <c r="T364" s="42">
        <f t="shared" si="267"/>
        <v>2014</v>
      </c>
      <c r="U364" s="42">
        <f t="shared" si="267"/>
        <v>-579</v>
      </c>
      <c r="V364" s="42">
        <f t="shared" si="267"/>
        <v>5651</v>
      </c>
      <c r="W364" s="42">
        <f t="shared" si="267"/>
        <v>-4051</v>
      </c>
      <c r="X364" s="42">
        <f t="shared" si="267"/>
        <v>-2361</v>
      </c>
      <c r="Y364" s="42">
        <f t="shared" si="267"/>
        <v>1305</v>
      </c>
      <c r="Z364" s="42">
        <f t="shared" si="267"/>
        <v>-584</v>
      </c>
      <c r="AA364" s="42">
        <f t="shared" si="267"/>
        <v>-1195</v>
      </c>
      <c r="AB364" s="42">
        <f t="shared" si="267"/>
        <v>708</v>
      </c>
      <c r="AC364" s="42">
        <f t="shared" si="267"/>
        <v>-3742</v>
      </c>
      <c r="AD364" s="42">
        <f t="shared" si="267"/>
        <v>-483</v>
      </c>
      <c r="AE364" s="42">
        <f t="shared" si="267"/>
        <v>-1793.199999999999</v>
      </c>
      <c r="AF364" s="42">
        <f t="shared" si="267"/>
        <v>2796.2</v>
      </c>
      <c r="AG364" s="42">
        <f t="shared" si="267"/>
        <v>1251.3999999999985</v>
      </c>
      <c r="AH364" s="42">
        <f t="shared" si="267"/>
        <v>-5009.3</v>
      </c>
      <c r="AI364" s="42">
        <f aca="true" t="shared" si="268" ref="AI364:AQ364">AI327+AI347+AI362</f>
        <v>-7363.300000000001</v>
      </c>
      <c r="AJ364" s="42">
        <f t="shared" si="268"/>
        <v>-2374.4000000000005</v>
      </c>
      <c r="AK364" s="42">
        <f t="shared" si="268"/>
        <v>4168.799999999998</v>
      </c>
      <c r="AL364" s="42">
        <f t="shared" si="268"/>
        <v>4033.3000000000025</v>
      </c>
      <c r="AM364" s="42">
        <f t="shared" si="268"/>
        <v>3668.3999999999987</v>
      </c>
      <c r="AN364" s="171">
        <f>AN327+AN362</f>
        <v>-3450.4999999999986</v>
      </c>
      <c r="AO364" s="42">
        <f t="shared" si="268"/>
        <v>0</v>
      </c>
      <c r="AP364" s="42">
        <f t="shared" si="268"/>
        <v>0</v>
      </c>
      <c r="AQ364" s="42">
        <f t="shared" si="268"/>
        <v>0</v>
      </c>
      <c r="AR364" s="42">
        <f>AR327+AR347+AR362</f>
        <v>0</v>
      </c>
      <c r="AS364" s="42">
        <f>AS327+AS347+AS362</f>
        <v>0</v>
      </c>
      <c r="AT364" s="42">
        <f>AT327+AT347+AT362</f>
        <v>0</v>
      </c>
      <c r="AU364" s="42">
        <f>AU327+AU347+AU362</f>
        <v>0</v>
      </c>
    </row>
    <row r="365" spans="1:47" s="2" customFormat="1" ht="12.75">
      <c r="A365" s="43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</row>
    <row r="366" spans="1:47" s="2" customFormat="1" ht="12.75">
      <c r="A366" s="44" t="s">
        <v>222</v>
      </c>
      <c r="B366" s="45">
        <v>14</v>
      </c>
      <c r="C366" s="45">
        <v>0</v>
      </c>
      <c r="D366" s="45">
        <v>0</v>
      </c>
      <c r="E366" s="45">
        <v>-14</v>
      </c>
      <c r="F366" s="45">
        <v>0</v>
      </c>
      <c r="G366" s="45">
        <v>198.4</v>
      </c>
      <c r="H366" s="45">
        <v>41</v>
      </c>
      <c r="I366" s="45">
        <v>8.8</v>
      </c>
      <c r="J366" s="45">
        <v>0</v>
      </c>
      <c r="K366" s="45">
        <v>0</v>
      </c>
      <c r="L366" s="45">
        <v>83.8</v>
      </c>
      <c r="M366" s="45">
        <v>21.8</v>
      </c>
      <c r="N366" s="45">
        <v>117</v>
      </c>
      <c r="O366" s="45">
        <v>62</v>
      </c>
      <c r="P366" s="45">
        <v>-236</v>
      </c>
      <c r="Q366" s="45">
        <v>0</v>
      </c>
      <c r="R366" s="45">
        <v>0</v>
      </c>
      <c r="S366" s="45">
        <v>0</v>
      </c>
      <c r="T366" s="45">
        <v>0</v>
      </c>
      <c r="U366" s="45">
        <v>0</v>
      </c>
      <c r="V366" s="45">
        <v>0</v>
      </c>
      <c r="W366" s="45">
        <v>0</v>
      </c>
      <c r="X366" s="45">
        <v>0</v>
      </c>
      <c r="Y366" s="45">
        <v>0</v>
      </c>
      <c r="Z366" s="45">
        <v>0</v>
      </c>
      <c r="AA366" s="45">
        <v>0</v>
      </c>
      <c r="AB366" s="45">
        <v>0</v>
      </c>
      <c r="AC366" s="45">
        <v>0</v>
      </c>
      <c r="AD366" s="45">
        <v>0</v>
      </c>
      <c r="AE366" s="45">
        <v>0</v>
      </c>
      <c r="AF366" s="45">
        <v>0</v>
      </c>
      <c r="AG366" s="45">
        <v>0</v>
      </c>
      <c r="AH366" s="45">
        <v>0</v>
      </c>
      <c r="AI366" s="45">
        <v>0</v>
      </c>
      <c r="AJ366" s="45">
        <v>0</v>
      </c>
      <c r="AK366" s="45">
        <v>0</v>
      </c>
      <c r="AL366" s="45">
        <v>0</v>
      </c>
      <c r="AM366" s="45">
        <v>0</v>
      </c>
      <c r="AN366" s="45">
        <v>0</v>
      </c>
      <c r="AO366" s="45">
        <v>0</v>
      </c>
      <c r="AP366" s="45">
        <v>0</v>
      </c>
      <c r="AQ366" s="45">
        <v>0</v>
      </c>
      <c r="AR366" s="45">
        <v>0</v>
      </c>
      <c r="AS366" s="45">
        <v>0</v>
      </c>
      <c r="AT366" s="45">
        <v>0</v>
      </c>
      <c r="AU366" s="45">
        <v>0</v>
      </c>
    </row>
    <row r="367" spans="1:47" s="2" customFormat="1" ht="12.75">
      <c r="A367" s="46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  <c r="AO367" s="47"/>
      <c r="AP367" s="47"/>
      <c r="AQ367" s="47"/>
      <c r="AR367" s="47"/>
      <c r="AS367" s="47"/>
      <c r="AT367" s="47"/>
      <c r="AU367" s="47"/>
    </row>
    <row r="368" spans="1:47" s="2" customFormat="1" ht="12.75">
      <c r="A368" s="41" t="s">
        <v>67</v>
      </c>
      <c r="B368" s="45">
        <f>B364+B366</f>
        <v>-30.000000000000043</v>
      </c>
      <c r="C368" s="45">
        <f aca="true" t="shared" si="269" ref="C368:R368">C364+C366</f>
        <v>-55.399999999999956</v>
      </c>
      <c r="D368" s="45">
        <f t="shared" si="269"/>
        <v>61.40000000000005</v>
      </c>
      <c r="E368" s="45">
        <f t="shared" si="269"/>
        <v>30.299999999999905</v>
      </c>
      <c r="F368" s="45">
        <f t="shared" si="269"/>
        <v>30.600000000000158</v>
      </c>
      <c r="G368" s="45">
        <f t="shared" si="269"/>
        <v>95.39999999999995</v>
      </c>
      <c r="H368" s="45">
        <f t="shared" si="269"/>
        <v>-52.20000000000002</v>
      </c>
      <c r="I368" s="45">
        <f t="shared" si="269"/>
        <v>-24.4000000000001</v>
      </c>
      <c r="J368" s="45">
        <f t="shared" si="269"/>
        <v>-3.099999999999966</v>
      </c>
      <c r="K368" s="45">
        <f t="shared" si="269"/>
        <v>-99.69999999999989</v>
      </c>
      <c r="L368" s="45">
        <f t="shared" si="269"/>
        <v>-70.89999999999982</v>
      </c>
      <c r="M368" s="45">
        <f t="shared" si="269"/>
        <v>-239.79999999999967</v>
      </c>
      <c r="N368" s="45">
        <f t="shared" si="269"/>
        <v>479</v>
      </c>
      <c r="O368" s="45">
        <f t="shared" si="269"/>
        <v>493</v>
      </c>
      <c r="P368" s="45">
        <f>P364+P366</f>
        <v>1151</v>
      </c>
      <c r="Q368" s="45">
        <f t="shared" si="269"/>
        <v>5076</v>
      </c>
      <c r="R368" s="45">
        <f t="shared" si="269"/>
        <v>-1084</v>
      </c>
      <c r="S368" s="45">
        <f aca="true" t="shared" si="270" ref="S368:AH368">S364+S366</f>
        <v>2288</v>
      </c>
      <c r="T368" s="45">
        <f t="shared" si="270"/>
        <v>2014</v>
      </c>
      <c r="U368" s="45">
        <f t="shared" si="270"/>
        <v>-579</v>
      </c>
      <c r="V368" s="45">
        <f t="shared" si="270"/>
        <v>5651</v>
      </c>
      <c r="W368" s="45">
        <f t="shared" si="270"/>
        <v>-4051</v>
      </c>
      <c r="X368" s="45">
        <f t="shared" si="270"/>
        <v>-2361</v>
      </c>
      <c r="Y368" s="45">
        <f t="shared" si="270"/>
        <v>1305</v>
      </c>
      <c r="Z368" s="45">
        <f t="shared" si="270"/>
        <v>-584</v>
      </c>
      <c r="AA368" s="45">
        <f t="shared" si="270"/>
        <v>-1195</v>
      </c>
      <c r="AB368" s="45">
        <f t="shared" si="270"/>
        <v>708</v>
      </c>
      <c r="AC368" s="45">
        <f t="shared" si="270"/>
        <v>-3742</v>
      </c>
      <c r="AD368" s="45">
        <f t="shared" si="270"/>
        <v>-483</v>
      </c>
      <c r="AE368" s="45">
        <f t="shared" si="270"/>
        <v>-1793.199999999999</v>
      </c>
      <c r="AF368" s="45">
        <f t="shared" si="270"/>
        <v>2796.2</v>
      </c>
      <c r="AG368" s="45">
        <f t="shared" si="270"/>
        <v>1251.3999999999985</v>
      </c>
      <c r="AH368" s="45">
        <f t="shared" si="270"/>
        <v>-5009.3</v>
      </c>
      <c r="AI368" s="45">
        <f aca="true" t="shared" si="271" ref="AI368:AQ368">AI364+AI366</f>
        <v>-7363.300000000001</v>
      </c>
      <c r="AJ368" s="45">
        <f t="shared" si="271"/>
        <v>-2374.4000000000005</v>
      </c>
      <c r="AK368" s="45">
        <f t="shared" si="271"/>
        <v>4168.799999999998</v>
      </c>
      <c r="AL368" s="45">
        <f t="shared" si="271"/>
        <v>4033.3000000000025</v>
      </c>
      <c r="AM368" s="45">
        <f t="shared" si="271"/>
        <v>3668.3999999999987</v>
      </c>
      <c r="AN368" s="45">
        <f t="shared" si="271"/>
        <v>-3450.4999999999986</v>
      </c>
      <c r="AO368" s="45">
        <f t="shared" si="271"/>
        <v>0</v>
      </c>
      <c r="AP368" s="45">
        <f t="shared" si="271"/>
        <v>0</v>
      </c>
      <c r="AQ368" s="45">
        <f t="shared" si="271"/>
        <v>0</v>
      </c>
      <c r="AR368" s="45">
        <f>AR364+AR366</f>
        <v>0</v>
      </c>
      <c r="AS368" s="45">
        <f>AS364+AS366</f>
        <v>0</v>
      </c>
      <c r="AT368" s="45">
        <f>AT364+AT366</f>
        <v>0</v>
      </c>
      <c r="AU368" s="45">
        <f>AU364+AU366</f>
        <v>0</v>
      </c>
    </row>
    <row r="369" spans="1:47" s="2" customFormat="1" ht="12.7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1"/>
      <c r="AN369" s="1"/>
      <c r="AO369" s="1"/>
      <c r="AP369" s="1"/>
      <c r="AQ369" s="1"/>
      <c r="AR369" s="1"/>
      <c r="AS369" s="1"/>
      <c r="AT369" s="1"/>
      <c r="AU369" s="1"/>
    </row>
    <row r="370" s="89" customFormat="1" ht="12.75">
      <c r="A370" s="88"/>
    </row>
    <row r="371" spans="1:47" s="2" customFormat="1" ht="12.7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/>
      <c r="AN371"/>
      <c r="AO371"/>
      <c r="AP371"/>
      <c r="AQ371"/>
      <c r="AR371"/>
      <c r="AS371"/>
      <c r="AT371"/>
      <c r="AU371"/>
    </row>
    <row r="372" spans="1:47" s="1" customFormat="1" ht="12.75">
      <c r="A372" s="48" t="s">
        <v>223</v>
      </c>
      <c r="B372" s="73">
        <f>-B368+B148</f>
        <v>0</v>
      </c>
      <c r="C372" s="73">
        <f aca="true" t="shared" si="272" ref="C372:R372">-C368+C148</f>
        <v>0</v>
      </c>
      <c r="D372" s="73">
        <f t="shared" si="272"/>
        <v>-6.394884621840902E-14</v>
      </c>
      <c r="E372" s="73">
        <f t="shared" si="272"/>
        <v>4.263256414560601E-14</v>
      </c>
      <c r="F372" s="73">
        <f t="shared" si="272"/>
        <v>-8.526512829121202E-14</v>
      </c>
      <c r="G372" s="73">
        <f t="shared" si="272"/>
        <v>0</v>
      </c>
      <c r="H372" s="73">
        <f t="shared" si="272"/>
        <v>0</v>
      </c>
      <c r="I372" s="73">
        <f t="shared" si="272"/>
        <v>0</v>
      </c>
      <c r="J372" s="73">
        <f t="shared" si="272"/>
        <v>0</v>
      </c>
      <c r="K372" s="102">
        <f t="shared" si="272"/>
        <v>-0.30000000000011084</v>
      </c>
      <c r="L372" s="101">
        <f t="shared" si="272"/>
        <v>19.89999999999982</v>
      </c>
      <c r="M372" s="101">
        <f t="shared" si="272"/>
        <v>-3.410605131648481E-13</v>
      </c>
      <c r="N372" s="101">
        <f t="shared" si="272"/>
        <v>20</v>
      </c>
      <c r="O372" s="101">
        <f t="shared" si="272"/>
        <v>-11</v>
      </c>
      <c r="P372" s="101">
        <f t="shared" si="272"/>
        <v>-155</v>
      </c>
      <c r="Q372" s="101">
        <f t="shared" si="272"/>
        <v>108</v>
      </c>
      <c r="R372" s="101">
        <f t="shared" si="272"/>
        <v>395</v>
      </c>
      <c r="S372" s="101">
        <f aca="true" t="shared" si="273" ref="S372:AH372">-S368+S148</f>
        <v>496</v>
      </c>
      <c r="T372" s="101">
        <f t="shared" si="273"/>
        <v>-183</v>
      </c>
      <c r="U372" s="101">
        <f t="shared" si="273"/>
        <v>410</v>
      </c>
      <c r="V372" s="101">
        <f t="shared" si="273"/>
        <v>-2008</v>
      </c>
      <c r="W372" s="101">
        <f t="shared" si="273"/>
        <v>461</v>
      </c>
      <c r="X372" s="101">
        <f t="shared" si="273"/>
        <v>-140</v>
      </c>
      <c r="Y372" s="101">
        <f t="shared" si="273"/>
        <v>-731</v>
      </c>
      <c r="Z372" s="101">
        <f t="shared" si="273"/>
        <v>-650</v>
      </c>
      <c r="AA372" s="101">
        <f t="shared" si="273"/>
        <v>-3642</v>
      </c>
      <c r="AB372" s="101">
        <f t="shared" si="273"/>
        <v>304</v>
      </c>
      <c r="AC372" s="101">
        <f t="shared" si="273"/>
        <v>2570</v>
      </c>
      <c r="AD372" s="101">
        <f t="shared" si="273"/>
        <v>292</v>
      </c>
      <c r="AE372" s="101">
        <f t="shared" si="273"/>
        <v>837.1999999999989</v>
      </c>
      <c r="AF372" s="101">
        <f t="shared" si="273"/>
        <v>-467.1999999999998</v>
      </c>
      <c r="AG372" s="101">
        <f t="shared" si="273"/>
        <v>-1551.3999999999985</v>
      </c>
      <c r="AH372" s="101">
        <f t="shared" si="273"/>
        <v>2912.3</v>
      </c>
      <c r="AI372" s="101">
        <f aca="true" t="shared" si="274" ref="AI372:AQ372">-AI368+AI148</f>
        <v>7197.300000000001</v>
      </c>
      <c r="AJ372" s="101">
        <f t="shared" si="274"/>
        <v>2606.4000000000005</v>
      </c>
      <c r="AK372" s="102">
        <f t="shared" si="274"/>
        <v>-3247.7999999999984</v>
      </c>
      <c r="AL372" s="102">
        <f t="shared" si="274"/>
        <v>-1165.3000000000025</v>
      </c>
      <c r="AM372" s="73">
        <f t="shared" si="274"/>
        <v>-1322.3999999999987</v>
      </c>
      <c r="AN372" s="73">
        <f t="shared" si="274"/>
        <v>-254.50000000000136</v>
      </c>
      <c r="AO372" s="73">
        <f t="shared" si="274"/>
        <v>-1572</v>
      </c>
      <c r="AP372" s="73">
        <f t="shared" si="274"/>
        <v>1845</v>
      </c>
      <c r="AQ372" s="73">
        <f t="shared" si="274"/>
        <v>6529</v>
      </c>
      <c r="AR372" s="73">
        <f>-AR368+AR148</f>
        <v>4760</v>
      </c>
      <c r="AS372" s="73">
        <f>-AS368+AS148</f>
        <v>12377</v>
      </c>
      <c r="AT372" s="73">
        <f>-AT368+AT148</f>
        <v>13276</v>
      </c>
      <c r="AU372" s="73" t="e">
        <f>-AU368+AU148</f>
        <v>#VALUE!</v>
      </c>
    </row>
    <row r="373" spans="1:47" s="2" customFormat="1" ht="12.75">
      <c r="A373" s="30"/>
      <c r="B373" s="31"/>
      <c r="C373" s="31"/>
      <c r="D373" s="31"/>
      <c r="E373" s="31"/>
      <c r="K373" s="95"/>
      <c r="L373" s="95"/>
      <c r="M373" s="95"/>
      <c r="N373" s="95"/>
      <c r="O373" s="95"/>
      <c r="P373" s="95"/>
      <c r="Q373" s="95"/>
      <c r="R373" s="95"/>
      <c r="S373" s="95"/>
      <c r="T373" s="95"/>
      <c r="U373" s="95"/>
      <c r="V373" s="95"/>
      <c r="W373" s="95"/>
      <c r="X373" s="95"/>
      <c r="Y373" s="95"/>
      <c r="Z373" s="74"/>
      <c r="AA373" s="74"/>
      <c r="AB373" s="74"/>
      <c r="AC373" s="74"/>
      <c r="AD373" s="74"/>
      <c r="AE373" s="74"/>
      <c r="AF373" s="74"/>
      <c r="AG373" s="74"/>
      <c r="AH373" s="74"/>
      <c r="AI373" s="74"/>
      <c r="AJ373" s="74"/>
      <c r="AK373" s="105"/>
      <c r="AL373" s="105"/>
      <c r="AM373" s="74"/>
      <c r="AN373" s="74"/>
      <c r="AO373" s="74"/>
      <c r="AP373" s="74"/>
      <c r="AQ373" s="74"/>
      <c r="AR373" s="74"/>
      <c r="AS373" s="74"/>
      <c r="AT373" s="74"/>
      <c r="AU373" s="74"/>
    </row>
    <row r="374" spans="1:47" s="1" customFormat="1" ht="12.75">
      <c r="A374" s="48" t="s">
        <v>224</v>
      </c>
      <c r="B374" s="73">
        <f>B333-B101</f>
        <v>0</v>
      </c>
      <c r="C374" s="73">
        <f aca="true" t="shared" si="275" ref="C374:R374">C333-C101</f>
        <v>0</v>
      </c>
      <c r="D374" s="73">
        <f t="shared" si="275"/>
        <v>0</v>
      </c>
      <c r="E374" s="73">
        <f t="shared" si="275"/>
        <v>0</v>
      </c>
      <c r="F374" s="73">
        <f t="shared" si="275"/>
        <v>0</v>
      </c>
      <c r="G374" s="73">
        <f t="shared" si="275"/>
        <v>0</v>
      </c>
      <c r="H374" s="73">
        <f t="shared" si="275"/>
        <v>0</v>
      </c>
      <c r="I374" s="73">
        <f t="shared" si="275"/>
        <v>0</v>
      </c>
      <c r="J374" s="73">
        <f t="shared" si="275"/>
        <v>0</v>
      </c>
      <c r="K374" s="101">
        <f t="shared" si="275"/>
        <v>-26.5</v>
      </c>
      <c r="L374" s="101">
        <f t="shared" si="275"/>
        <v>-15.599999999999994</v>
      </c>
      <c r="M374" s="101">
        <f t="shared" si="275"/>
        <v>-20.099999999999994</v>
      </c>
      <c r="N374" s="101">
        <f t="shared" si="275"/>
        <v>-23</v>
      </c>
      <c r="O374" s="101">
        <f t="shared" si="275"/>
        <v>-28</v>
      </c>
      <c r="P374" s="101">
        <f t="shared" si="275"/>
        <v>-5</v>
      </c>
      <c r="Q374" s="101">
        <f t="shared" si="275"/>
        <v>-7</v>
      </c>
      <c r="R374" s="101">
        <f t="shared" si="275"/>
        <v>-13</v>
      </c>
      <c r="S374" s="101">
        <f aca="true" t="shared" si="276" ref="S374:AH374">S333-S101</f>
        <v>-16</v>
      </c>
      <c r="T374" s="101">
        <f t="shared" si="276"/>
        <v>-321</v>
      </c>
      <c r="U374" s="101">
        <f t="shared" si="276"/>
        <v>-14</v>
      </c>
      <c r="V374" s="101">
        <f t="shared" si="276"/>
        <v>-9</v>
      </c>
      <c r="W374" s="101">
        <f t="shared" si="276"/>
        <v>265</v>
      </c>
      <c r="X374" s="101">
        <f t="shared" si="276"/>
        <v>-4</v>
      </c>
      <c r="Y374" s="101">
        <f t="shared" si="276"/>
        <v>-6</v>
      </c>
      <c r="Z374" s="73">
        <f t="shared" si="276"/>
        <v>0</v>
      </c>
      <c r="AA374" s="73">
        <f t="shared" si="276"/>
        <v>0</v>
      </c>
      <c r="AB374" s="101">
        <f t="shared" si="276"/>
        <v>1</v>
      </c>
      <c r="AC374" s="101">
        <f t="shared" si="276"/>
        <v>-1</v>
      </c>
      <c r="AD374" s="73">
        <f t="shared" si="276"/>
        <v>0</v>
      </c>
      <c r="AE374" s="73">
        <f t="shared" si="276"/>
        <v>0</v>
      </c>
      <c r="AF374" s="73">
        <f t="shared" si="276"/>
        <v>0</v>
      </c>
      <c r="AG374" s="102">
        <f t="shared" si="276"/>
        <v>-0.39999999999997726</v>
      </c>
      <c r="AH374" s="102">
        <f t="shared" si="276"/>
        <v>0.2999999999999545</v>
      </c>
      <c r="AI374" s="102">
        <f aca="true" t="shared" si="277" ref="AI374:AQ374">AI333-AI101</f>
        <v>-0.2999999999999545</v>
      </c>
      <c r="AJ374" s="102">
        <f t="shared" si="277"/>
        <v>-0.5</v>
      </c>
      <c r="AK374" s="102">
        <f t="shared" si="277"/>
        <v>-0.39999999999997726</v>
      </c>
      <c r="AL374" s="102">
        <f t="shared" si="277"/>
        <v>0.1999999999999318</v>
      </c>
      <c r="AM374" s="73">
        <f t="shared" si="277"/>
        <v>-509</v>
      </c>
      <c r="AN374" s="73">
        <f t="shared" si="277"/>
        <v>-323.29999999999995</v>
      </c>
      <c r="AO374" s="73">
        <f t="shared" si="277"/>
        <v>-2023</v>
      </c>
      <c r="AP374" s="73">
        <f t="shared" si="277"/>
        <v>-1396</v>
      </c>
      <c r="AQ374" s="73">
        <f t="shared" si="277"/>
        <v>-2012</v>
      </c>
      <c r="AR374" s="73">
        <f>AR333-AR101</f>
        <v>-3488</v>
      </c>
      <c r="AS374" s="73">
        <f>AS333-AS101</f>
        <v>-12736</v>
      </c>
      <c r="AT374" s="73">
        <f>AT333-AT101</f>
        <v>-16170</v>
      </c>
      <c r="AU374" s="73" t="e">
        <f>AU333-AU101</f>
        <v>#VALUE!</v>
      </c>
    </row>
    <row r="375" spans="1:47" s="2" customFormat="1" ht="12.75">
      <c r="A375" s="4"/>
      <c r="B375" s="73"/>
      <c r="C375" s="73"/>
      <c r="D375" s="73"/>
      <c r="E375" s="73"/>
      <c r="F375" s="73"/>
      <c r="G375" s="73"/>
      <c r="H375" s="73"/>
      <c r="I375" s="73"/>
      <c r="J375" s="73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  <c r="AJ375" s="75"/>
      <c r="AK375" s="72"/>
      <c r="AL375" s="72"/>
      <c r="AM375" s="75"/>
      <c r="AN375" s="75"/>
      <c r="AO375" s="75"/>
      <c r="AP375" s="75"/>
      <c r="AQ375" s="75"/>
      <c r="AR375" s="75"/>
      <c r="AS375" s="75"/>
      <c r="AT375" s="75"/>
      <c r="AU375" s="75"/>
    </row>
    <row r="376" spans="1:47" s="1" customFormat="1" ht="12.75">
      <c r="A376" s="3" t="s">
        <v>225</v>
      </c>
      <c r="B376" s="73">
        <f aca="true" t="shared" si="278" ref="B376:Q376">B342+B112</f>
        <v>0</v>
      </c>
      <c r="C376" s="73">
        <f t="shared" si="278"/>
        <v>0</v>
      </c>
      <c r="D376" s="73">
        <f t="shared" si="278"/>
        <v>0</v>
      </c>
      <c r="E376" s="73">
        <f t="shared" si="278"/>
        <v>0</v>
      </c>
      <c r="F376" s="73">
        <f t="shared" si="278"/>
        <v>0</v>
      </c>
      <c r="G376" s="73">
        <f t="shared" si="278"/>
        <v>0</v>
      </c>
      <c r="H376" s="73">
        <f t="shared" si="278"/>
        <v>0</v>
      </c>
      <c r="I376" s="73">
        <f t="shared" si="278"/>
        <v>0</v>
      </c>
      <c r="J376" s="73">
        <f t="shared" si="278"/>
        <v>0</v>
      </c>
      <c r="K376" s="104">
        <f t="shared" si="278"/>
        <v>728.5</v>
      </c>
      <c r="L376" s="104">
        <f t="shared" si="278"/>
        <v>840.9</v>
      </c>
      <c r="M376" s="104">
        <f t="shared" si="278"/>
        <v>1029</v>
      </c>
      <c r="N376" s="104">
        <f t="shared" si="278"/>
        <v>1373</v>
      </c>
      <c r="O376" s="104">
        <f t="shared" si="278"/>
        <v>1626</v>
      </c>
      <c r="P376" s="104">
        <f t="shared" si="278"/>
        <v>434</v>
      </c>
      <c r="Q376" s="104">
        <f t="shared" si="278"/>
        <v>387</v>
      </c>
      <c r="R376" s="104">
        <f aca="true" t="shared" si="279" ref="R376:AG376">R342+R112</f>
        <v>338</v>
      </c>
      <c r="S376" s="104">
        <f t="shared" si="279"/>
        <v>213</v>
      </c>
      <c r="T376" s="104">
        <f t="shared" si="279"/>
        <v>-1042</v>
      </c>
      <c r="U376" s="104">
        <f t="shared" si="279"/>
        <v>201</v>
      </c>
      <c r="V376" s="104">
        <f t="shared" si="279"/>
        <v>-14</v>
      </c>
      <c r="W376" s="104">
        <f t="shared" si="279"/>
        <v>-2</v>
      </c>
      <c r="X376" s="76">
        <f t="shared" si="279"/>
        <v>0</v>
      </c>
      <c r="Y376" s="76">
        <f t="shared" si="279"/>
        <v>0</v>
      </c>
      <c r="Z376" s="76">
        <f t="shared" si="279"/>
        <v>0</v>
      </c>
      <c r="AA376" s="76">
        <f t="shared" si="279"/>
        <v>0</v>
      </c>
      <c r="AB376" s="76">
        <f t="shared" si="279"/>
        <v>0</v>
      </c>
      <c r="AC376" s="76">
        <f t="shared" si="279"/>
        <v>0</v>
      </c>
      <c r="AD376" s="76">
        <f t="shared" si="279"/>
        <v>0</v>
      </c>
      <c r="AE376" s="103">
        <f t="shared" si="279"/>
        <v>1088.1</v>
      </c>
      <c r="AF376" s="103">
        <f t="shared" si="279"/>
        <v>1347</v>
      </c>
      <c r="AG376" s="103">
        <f t="shared" si="279"/>
        <v>1992.3999999999999</v>
      </c>
      <c r="AH376" s="103">
        <f aca="true" t="shared" si="280" ref="AH376:AS376">AH342+AH112</f>
        <v>2737.2</v>
      </c>
      <c r="AI376" s="103">
        <f t="shared" si="280"/>
        <v>2582.5</v>
      </c>
      <c r="AJ376" s="103">
        <f t="shared" si="280"/>
        <v>2140.3</v>
      </c>
      <c r="AK376" s="106">
        <f t="shared" si="280"/>
        <v>1153.7999999999997</v>
      </c>
      <c r="AL376" s="106">
        <f t="shared" si="280"/>
        <v>1746.1999999999998</v>
      </c>
      <c r="AM376" s="76">
        <f t="shared" si="280"/>
        <v>2403.3999999999996</v>
      </c>
      <c r="AN376" s="76">
        <f t="shared" si="280"/>
        <v>2066.7</v>
      </c>
      <c r="AO376" s="76">
        <f t="shared" si="280"/>
        <v>3492</v>
      </c>
      <c r="AP376" s="76">
        <f t="shared" si="280"/>
        <v>2929</v>
      </c>
      <c r="AQ376" s="76">
        <f t="shared" si="280"/>
        <v>3497</v>
      </c>
      <c r="AR376" s="76">
        <f t="shared" si="280"/>
        <v>3983</v>
      </c>
      <c r="AS376" s="76">
        <f t="shared" si="280"/>
        <v>8528</v>
      </c>
      <c r="AT376" s="76">
        <f>AT342+AT112</f>
        <v>10575</v>
      </c>
      <c r="AU376" s="76">
        <f>AU342+AU112</f>
        <v>0</v>
      </c>
    </row>
    <row r="377" spans="1:47" s="2" customFormat="1" ht="12.75">
      <c r="A377" s="4"/>
      <c r="B377" s="73"/>
      <c r="C377" s="73"/>
      <c r="D377" s="73"/>
      <c r="E377" s="73"/>
      <c r="F377" s="73"/>
      <c r="G377" s="73"/>
      <c r="H377" s="73"/>
      <c r="I377" s="73"/>
      <c r="J377" s="73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96"/>
      <c r="AF377" s="96"/>
      <c r="AG377" s="96"/>
      <c r="AH377" s="96"/>
      <c r="AI377" s="96"/>
      <c r="AJ377" s="96"/>
      <c r="AK377" s="72"/>
      <c r="AL377" s="72"/>
      <c r="AM377" s="75"/>
      <c r="AN377" s="75"/>
      <c r="AO377" s="75"/>
      <c r="AP377" s="75"/>
      <c r="AQ377" s="75"/>
      <c r="AR377" s="75"/>
      <c r="AS377" s="75"/>
      <c r="AT377" s="75"/>
      <c r="AU377" s="75"/>
    </row>
    <row r="378" spans="1:47" s="1" customFormat="1" ht="12.75">
      <c r="A378" s="24" t="s">
        <v>226</v>
      </c>
      <c r="B378" s="73">
        <f aca="true" t="shared" si="281" ref="B378:Q378">B329-B94</f>
        <v>0</v>
      </c>
      <c r="C378" s="73">
        <f t="shared" si="281"/>
        <v>0</v>
      </c>
      <c r="D378" s="73">
        <f t="shared" si="281"/>
        <v>0</v>
      </c>
      <c r="E378" s="73">
        <f t="shared" si="281"/>
        <v>0</v>
      </c>
      <c r="F378" s="73">
        <f t="shared" si="281"/>
        <v>0</v>
      </c>
      <c r="G378" s="73">
        <f t="shared" si="281"/>
        <v>0</v>
      </c>
      <c r="H378" s="73">
        <f t="shared" si="281"/>
        <v>0</v>
      </c>
      <c r="I378" s="73">
        <f t="shared" si="281"/>
        <v>0</v>
      </c>
      <c r="J378" s="73">
        <f t="shared" si="281"/>
        <v>0</v>
      </c>
      <c r="K378" s="104">
        <f t="shared" si="281"/>
        <v>-754.4000000000001</v>
      </c>
      <c r="L378" s="104">
        <f t="shared" si="281"/>
        <v>-897.7</v>
      </c>
      <c r="M378" s="104">
        <f t="shared" si="281"/>
        <v>-1183.8</v>
      </c>
      <c r="N378" s="104">
        <f t="shared" si="281"/>
        <v>-1569</v>
      </c>
      <c r="O378" s="104">
        <f t="shared" si="281"/>
        <v>-1663</v>
      </c>
      <c r="P378" s="104">
        <f t="shared" si="281"/>
        <v>-3460</v>
      </c>
      <c r="Q378" s="104">
        <f t="shared" si="281"/>
        <v>-2379</v>
      </c>
      <c r="R378" s="104">
        <f aca="true" t="shared" si="282" ref="R378:AG378">R329-R94</f>
        <v>-1105</v>
      </c>
      <c r="S378" s="104">
        <f t="shared" si="282"/>
        <v>-3576</v>
      </c>
      <c r="T378" s="104">
        <f t="shared" si="282"/>
        <v>-2546</v>
      </c>
      <c r="U378" s="104">
        <f t="shared" si="282"/>
        <v>2330</v>
      </c>
      <c r="V378" s="104">
        <f t="shared" si="282"/>
        <v>-5141</v>
      </c>
      <c r="W378" s="104">
        <f t="shared" si="282"/>
        <v>185</v>
      </c>
      <c r="X378" s="104">
        <f t="shared" si="282"/>
        <v>1911</v>
      </c>
      <c r="Y378" s="104">
        <f t="shared" si="282"/>
        <v>-1747</v>
      </c>
      <c r="Z378" s="104">
        <f t="shared" si="282"/>
        <v>-760</v>
      </c>
      <c r="AA378" s="104">
        <f t="shared" si="282"/>
        <v>-208</v>
      </c>
      <c r="AB378" s="104">
        <f t="shared" si="282"/>
        <v>84</v>
      </c>
      <c r="AC378" s="104">
        <f t="shared" si="282"/>
        <v>-632</v>
      </c>
      <c r="AD378" s="104">
        <f t="shared" si="282"/>
        <v>-2061</v>
      </c>
      <c r="AE378" s="104">
        <f t="shared" si="282"/>
        <v>-2366</v>
      </c>
      <c r="AF378" s="104">
        <f t="shared" si="282"/>
        <v>-499</v>
      </c>
      <c r="AG378" s="104">
        <f t="shared" si="282"/>
        <v>-1767.5999999999985</v>
      </c>
      <c r="AH378" s="104">
        <f aca="true" t="shared" si="283" ref="AH378:AS378">AH329-AH94</f>
        <v>-3781.0999999999985</v>
      </c>
      <c r="AI378" s="104">
        <f t="shared" si="283"/>
        <v>-5256.200000000001</v>
      </c>
      <c r="AJ378" s="104">
        <f t="shared" si="283"/>
        <v>-5036</v>
      </c>
      <c r="AK378" s="106">
        <f t="shared" si="283"/>
        <v>-5919.4</v>
      </c>
      <c r="AL378" s="106">
        <f t="shared" si="283"/>
        <v>-3167.5</v>
      </c>
      <c r="AM378" s="76">
        <f t="shared" si="283"/>
        <v>-3516.7000000000007</v>
      </c>
      <c r="AN378" s="76">
        <f t="shared" si="283"/>
        <v>-4278.799999999999</v>
      </c>
      <c r="AO378" s="76">
        <f t="shared" si="283"/>
        <v>-13118</v>
      </c>
      <c r="AP378" s="76">
        <f t="shared" si="283"/>
        <v>-21030</v>
      </c>
      <c r="AQ378" s="76">
        <f t="shared" si="283"/>
        <v>-28461</v>
      </c>
      <c r="AR378" s="76">
        <f t="shared" si="283"/>
        <v>-23904</v>
      </c>
      <c r="AS378" s="76">
        <f t="shared" si="283"/>
        <v>-28237</v>
      </c>
      <c r="AT378" s="76">
        <f>AT329-AT94</f>
        <v>-33788</v>
      </c>
      <c r="AU378" s="76">
        <f>AU329-AU94</f>
        <v>0</v>
      </c>
    </row>
    <row r="379" spans="1:47" s="2" customFormat="1" ht="12.75">
      <c r="A379" s="4"/>
      <c r="B379" s="73"/>
      <c r="C379" s="73"/>
      <c r="D379" s="73"/>
      <c r="E379" s="73"/>
      <c r="F379" s="73"/>
      <c r="G379" s="73"/>
      <c r="H379" s="73"/>
      <c r="I379" s="73"/>
      <c r="J379" s="73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  <c r="X379" s="96"/>
      <c r="Y379" s="96"/>
      <c r="Z379" s="96"/>
      <c r="AA379" s="96"/>
      <c r="AB379" s="96"/>
      <c r="AC379" s="96"/>
      <c r="AD379" s="96"/>
      <c r="AE379" s="96"/>
      <c r="AF379" s="96"/>
      <c r="AG379" s="96"/>
      <c r="AH379" s="96"/>
      <c r="AI379" s="96"/>
      <c r="AJ379" s="96"/>
      <c r="AK379" s="72"/>
      <c r="AL379" s="72"/>
      <c r="AM379" s="75"/>
      <c r="AN379" s="75"/>
      <c r="AO379" s="75"/>
      <c r="AP379" s="75"/>
      <c r="AQ379" s="75"/>
      <c r="AR379" s="75"/>
      <c r="AS379" s="75"/>
      <c r="AT379" s="75"/>
      <c r="AU379" s="75"/>
    </row>
    <row r="380" spans="1:47" s="1" customFormat="1" ht="14.25" customHeight="1">
      <c r="A380" s="24" t="s">
        <v>227</v>
      </c>
      <c r="B380" s="73">
        <f aca="true" t="shared" si="284" ref="B380:Q380">B339+B97</f>
        <v>0</v>
      </c>
      <c r="C380" s="73">
        <f t="shared" si="284"/>
        <v>0</v>
      </c>
      <c r="D380" s="73">
        <f t="shared" si="284"/>
        <v>0</v>
      </c>
      <c r="E380" s="73">
        <f t="shared" si="284"/>
        <v>0</v>
      </c>
      <c r="F380" s="73">
        <f t="shared" si="284"/>
        <v>0</v>
      </c>
      <c r="G380" s="73">
        <f t="shared" si="284"/>
        <v>0</v>
      </c>
      <c r="H380" s="73">
        <f t="shared" si="284"/>
        <v>0</v>
      </c>
      <c r="I380" s="73">
        <f t="shared" si="284"/>
        <v>0</v>
      </c>
      <c r="J380" s="73">
        <f t="shared" si="284"/>
        <v>0</v>
      </c>
      <c r="K380" s="104">
        <f t="shared" si="284"/>
        <v>-13.199999999999818</v>
      </c>
      <c r="L380" s="104">
        <f t="shared" si="284"/>
        <v>9.900000000000091</v>
      </c>
      <c r="M380" s="104">
        <f t="shared" si="284"/>
        <v>-63.09999999999991</v>
      </c>
      <c r="N380" s="104">
        <f t="shared" si="284"/>
        <v>-86</v>
      </c>
      <c r="O380" s="104">
        <f t="shared" si="284"/>
        <v>171</v>
      </c>
      <c r="P380" s="104">
        <f t="shared" si="284"/>
        <v>-181</v>
      </c>
      <c r="Q380" s="104">
        <f t="shared" si="284"/>
        <v>-1345</v>
      </c>
      <c r="R380" s="104">
        <f aca="true" t="shared" si="285" ref="R380:AG380">R339+R97</f>
        <v>-684</v>
      </c>
      <c r="S380" s="104">
        <f t="shared" si="285"/>
        <v>-14</v>
      </c>
      <c r="T380" s="104">
        <f t="shared" si="285"/>
        <v>1841</v>
      </c>
      <c r="U380" s="104">
        <f t="shared" si="285"/>
        <v>320</v>
      </c>
      <c r="V380" s="104">
        <f t="shared" si="285"/>
        <v>-1525</v>
      </c>
      <c r="W380" s="104">
        <f t="shared" si="285"/>
        <v>-2302</v>
      </c>
      <c r="X380" s="104">
        <f t="shared" si="285"/>
        <v>171</v>
      </c>
      <c r="Y380" s="104">
        <f t="shared" si="285"/>
        <v>937</v>
      </c>
      <c r="Z380" s="104">
        <f t="shared" si="285"/>
        <v>-1714</v>
      </c>
      <c r="AA380" s="104">
        <f t="shared" si="285"/>
        <v>-2418</v>
      </c>
      <c r="AB380" s="104">
        <f t="shared" si="285"/>
        <v>1970</v>
      </c>
      <c r="AC380" s="104">
        <f t="shared" si="285"/>
        <v>1591</v>
      </c>
      <c r="AD380" s="104">
        <f t="shared" si="285"/>
        <v>2699</v>
      </c>
      <c r="AE380" s="104">
        <f t="shared" si="285"/>
        <v>1798.2000000000007</v>
      </c>
      <c r="AF380" s="104">
        <f t="shared" si="285"/>
        <v>3543</v>
      </c>
      <c r="AG380" s="104">
        <f t="shared" si="285"/>
        <v>2745.199999999999</v>
      </c>
      <c r="AH380" s="104">
        <f aca="true" t="shared" si="286" ref="AH380:AS380">AH339+AH97</f>
        <v>6372.0999999999985</v>
      </c>
      <c r="AI380" s="104">
        <f t="shared" si="286"/>
        <v>3643.7999999999993</v>
      </c>
      <c r="AJ380" s="104">
        <f t="shared" si="286"/>
        <v>6996.5</v>
      </c>
      <c r="AK380" s="106">
        <f t="shared" si="286"/>
        <v>2165.0999999999985</v>
      </c>
      <c r="AL380" s="106">
        <f t="shared" si="286"/>
        <v>2656.2000000000007</v>
      </c>
      <c r="AM380" s="76">
        <f t="shared" si="286"/>
        <v>4107</v>
      </c>
      <c r="AN380" s="76">
        <f t="shared" si="286"/>
        <v>-1529.699999999999</v>
      </c>
      <c r="AO380" s="76">
        <f t="shared" si="286"/>
        <v>14286</v>
      </c>
      <c r="AP380" s="76">
        <f t="shared" si="286"/>
        <v>13433</v>
      </c>
      <c r="AQ380" s="76">
        <f t="shared" si="286"/>
        <v>15086</v>
      </c>
      <c r="AR380" s="76">
        <f t="shared" si="286"/>
        <v>18129</v>
      </c>
      <c r="AS380" s="76">
        <f t="shared" si="286"/>
        <v>22036</v>
      </c>
      <c r="AT380" s="76">
        <f>AT339+AT97</f>
        <v>28795</v>
      </c>
      <c r="AU380" s="76">
        <f>AU339+AU97</f>
        <v>0</v>
      </c>
    </row>
    <row r="381" s="91" customFormat="1" ht="8.25" customHeight="1">
      <c r="A381" s="90"/>
    </row>
    <row r="382" spans="1:47" s="2" customFormat="1" ht="15">
      <c r="A382" s="169" t="s">
        <v>228</v>
      </c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</row>
    <row r="383" spans="1:47" s="60" customFormat="1" ht="15">
      <c r="A383" s="81" t="s">
        <v>229</v>
      </c>
      <c r="B383" s="60">
        <f>B384+B388</f>
        <v>68.8</v>
      </c>
      <c r="C383" s="60">
        <f aca="true" t="shared" si="287" ref="C383:R383">C384+C388</f>
        <v>16.6</v>
      </c>
      <c r="D383" s="60">
        <f t="shared" si="287"/>
        <v>89.39999999999999</v>
      </c>
      <c r="E383" s="60">
        <f t="shared" si="287"/>
        <v>2.199999999999997</v>
      </c>
      <c r="F383" s="60">
        <f t="shared" si="287"/>
        <v>-40.1</v>
      </c>
      <c r="G383" s="60">
        <f t="shared" si="287"/>
        <v>-45.2</v>
      </c>
      <c r="H383" s="60">
        <f t="shared" si="287"/>
        <v>19.2</v>
      </c>
      <c r="I383" s="60">
        <f t="shared" si="287"/>
        <v>119.69999999999999</v>
      </c>
      <c r="J383" s="60">
        <f t="shared" si="287"/>
        <v>214.2</v>
      </c>
      <c r="K383" s="60">
        <f t="shared" si="287"/>
        <v>460</v>
      </c>
      <c r="L383" s="60">
        <f t="shared" si="287"/>
        <v>593</v>
      </c>
      <c r="M383" s="60">
        <f t="shared" si="287"/>
        <v>460</v>
      </c>
      <c r="N383" s="60">
        <f t="shared" si="287"/>
        <v>868</v>
      </c>
      <c r="O383" s="60">
        <f t="shared" si="287"/>
        <v>639</v>
      </c>
      <c r="P383" s="60">
        <f t="shared" si="287"/>
        <v>-1995</v>
      </c>
      <c r="Q383" s="60">
        <f t="shared" si="287"/>
        <v>-4757</v>
      </c>
      <c r="R383" s="60">
        <f t="shared" si="287"/>
        <v>-3789</v>
      </c>
      <c r="S383" s="60">
        <f aca="true" t="shared" si="288" ref="S383:AH383">S384+S388</f>
        <v>-4345</v>
      </c>
      <c r="T383" s="60">
        <f t="shared" si="288"/>
        <v>-785</v>
      </c>
      <c r="U383" s="60">
        <f t="shared" si="288"/>
        <v>1532</v>
      </c>
      <c r="V383" s="60">
        <f t="shared" si="288"/>
        <v>-4796</v>
      </c>
      <c r="W383" s="60">
        <f t="shared" si="288"/>
        <v>-41</v>
      </c>
      <c r="X383" s="60">
        <f t="shared" si="288"/>
        <v>2126</v>
      </c>
      <c r="Y383" s="60">
        <f t="shared" si="288"/>
        <v>-6930</v>
      </c>
      <c r="Z383" s="60">
        <f t="shared" si="288"/>
        <v>-271</v>
      </c>
      <c r="AA383" s="60">
        <f t="shared" si="288"/>
        <v>-421</v>
      </c>
      <c r="AB383" s="60">
        <f t="shared" si="288"/>
        <v>-160</v>
      </c>
      <c r="AC383" s="60">
        <f t="shared" si="288"/>
        <v>802</v>
      </c>
      <c r="AD383" s="60">
        <f t="shared" si="288"/>
        <v>719</v>
      </c>
      <c r="AE383" s="60">
        <f t="shared" si="288"/>
        <v>479</v>
      </c>
      <c r="AF383" s="60">
        <f t="shared" si="288"/>
        <v>3477</v>
      </c>
      <c r="AG383" s="60">
        <f t="shared" si="288"/>
        <v>846</v>
      </c>
      <c r="AH383" s="60">
        <f t="shared" si="288"/>
        <v>5371</v>
      </c>
      <c r="AI383" s="60">
        <f aca="true" t="shared" si="289" ref="AI383:AQ383">AI384+AI388</f>
        <v>4357</v>
      </c>
      <c r="AJ383" s="60">
        <f t="shared" si="289"/>
        <v>5137</v>
      </c>
      <c r="AK383" s="60">
        <f t="shared" si="289"/>
        <v>-144</v>
      </c>
      <c r="AL383" s="60">
        <f t="shared" si="289"/>
        <v>1755</v>
      </c>
      <c r="AM383" s="60">
        <f t="shared" si="289"/>
        <v>0</v>
      </c>
      <c r="AN383" s="60">
        <f t="shared" si="289"/>
        <v>0</v>
      </c>
      <c r="AO383" s="60">
        <f t="shared" si="289"/>
        <v>0</v>
      </c>
      <c r="AP383" s="60">
        <f t="shared" si="289"/>
        <v>0</v>
      </c>
      <c r="AQ383" s="60">
        <f t="shared" si="289"/>
        <v>0</v>
      </c>
      <c r="AR383" s="60">
        <f>AR384+AR388</f>
        <v>0</v>
      </c>
      <c r="AS383" s="60">
        <f>AS384+AS388</f>
        <v>0</v>
      </c>
      <c r="AT383" s="60">
        <f>AT384+AT388</f>
        <v>0</v>
      </c>
      <c r="AU383" s="60">
        <f>AU384+AU388</f>
        <v>0</v>
      </c>
    </row>
    <row r="384" spans="1:47" s="1" customFormat="1" ht="12.75">
      <c r="A384" s="77" t="s">
        <v>53</v>
      </c>
      <c r="B384" s="1">
        <f aca="true" t="shared" si="290" ref="B384:Q384">B385+B386</f>
        <v>0</v>
      </c>
      <c r="C384" s="1">
        <f t="shared" si="290"/>
        <v>1.2</v>
      </c>
      <c r="D384" s="1">
        <f t="shared" si="290"/>
        <v>2.6</v>
      </c>
      <c r="E384" s="1">
        <f t="shared" si="290"/>
        <v>1.9</v>
      </c>
      <c r="F384" s="1">
        <f t="shared" si="290"/>
        <v>4.1</v>
      </c>
      <c r="G384" s="1">
        <f t="shared" si="290"/>
        <v>0.4</v>
      </c>
      <c r="H384" s="1">
        <f t="shared" si="290"/>
        <v>-5.551115123125783E-16</v>
      </c>
      <c r="I384" s="1">
        <f t="shared" si="290"/>
        <v>14.1</v>
      </c>
      <c r="J384" s="1">
        <f t="shared" si="290"/>
        <v>12.6</v>
      </c>
      <c r="K384" s="1">
        <f t="shared" si="290"/>
        <v>97</v>
      </c>
      <c r="L384" s="1">
        <f t="shared" si="290"/>
        <v>191</v>
      </c>
      <c r="M384" s="1">
        <f t="shared" si="290"/>
        <v>64</v>
      </c>
      <c r="N384" s="1">
        <f t="shared" si="290"/>
        <v>217</v>
      </c>
      <c r="O384" s="1">
        <f t="shared" si="290"/>
        <v>116</v>
      </c>
      <c r="P384" s="1">
        <f t="shared" si="290"/>
        <v>-2746</v>
      </c>
      <c r="Q384" s="1">
        <f t="shared" si="290"/>
        <v>-1299</v>
      </c>
      <c r="R384" s="1">
        <f aca="true" t="shared" si="291" ref="R384:AG384">R385+R386</f>
        <v>-417</v>
      </c>
      <c r="S384" s="1">
        <f t="shared" si="291"/>
        <v>-2940</v>
      </c>
      <c r="T384" s="1">
        <f t="shared" si="291"/>
        <v>-1481</v>
      </c>
      <c r="U384" s="1">
        <f t="shared" si="291"/>
        <v>-1893</v>
      </c>
      <c r="V384" s="1">
        <f t="shared" si="291"/>
        <v>-120</v>
      </c>
      <c r="W384" s="1">
        <f t="shared" si="291"/>
        <v>-15</v>
      </c>
      <c r="X384" s="1">
        <f t="shared" si="291"/>
        <v>-135</v>
      </c>
      <c r="Y384" s="1">
        <f t="shared" si="291"/>
        <v>-75</v>
      </c>
      <c r="Z384" s="1">
        <f t="shared" si="291"/>
        <v>-120</v>
      </c>
      <c r="AA384" s="1">
        <f t="shared" si="291"/>
        <v>-115</v>
      </c>
      <c r="AB384" s="1">
        <f t="shared" si="291"/>
        <v>-45</v>
      </c>
      <c r="AC384" s="1">
        <f t="shared" si="291"/>
        <v>-38</v>
      </c>
      <c r="AD384" s="1">
        <f t="shared" si="291"/>
        <v>-38</v>
      </c>
      <c r="AE384" s="1">
        <f t="shared" si="291"/>
        <v>366</v>
      </c>
      <c r="AF384" s="1">
        <f t="shared" si="291"/>
        <v>1948</v>
      </c>
      <c r="AG384" s="1">
        <f t="shared" si="291"/>
        <v>358</v>
      </c>
      <c r="AH384" s="1">
        <f aca="true" t="shared" si="292" ref="AH384:AS384">AH385+AH386</f>
        <v>4393</v>
      </c>
      <c r="AI384" s="1">
        <f t="shared" si="292"/>
        <v>-600</v>
      </c>
      <c r="AJ384" s="1">
        <f t="shared" si="292"/>
        <v>6384</v>
      </c>
      <c r="AK384" s="1">
        <f t="shared" si="292"/>
        <v>-10225</v>
      </c>
      <c r="AL384" s="1">
        <f t="shared" si="292"/>
        <v>7</v>
      </c>
      <c r="AM384" s="1">
        <f t="shared" si="292"/>
        <v>0</v>
      </c>
      <c r="AN384" s="1">
        <f t="shared" si="292"/>
        <v>0</v>
      </c>
      <c r="AO384" s="1">
        <f t="shared" si="292"/>
        <v>0</v>
      </c>
      <c r="AP384" s="1">
        <f t="shared" si="292"/>
        <v>0</v>
      </c>
      <c r="AQ384" s="1">
        <f t="shared" si="292"/>
        <v>0</v>
      </c>
      <c r="AR384" s="1">
        <f t="shared" si="292"/>
        <v>0</v>
      </c>
      <c r="AS384" s="1">
        <f t="shared" si="292"/>
        <v>0</v>
      </c>
      <c r="AT384" s="1">
        <f>AT385+AT386</f>
        <v>0</v>
      </c>
      <c r="AU384" s="1">
        <f>AU385+AU386</f>
        <v>0</v>
      </c>
    </row>
    <row r="385" spans="1:47" s="60" customFormat="1" ht="15">
      <c r="A385" t="s">
        <v>230</v>
      </c>
      <c r="B385" s="5">
        <v>0</v>
      </c>
      <c r="C385" s="5">
        <v>1.2</v>
      </c>
      <c r="D385" s="5">
        <v>2.6</v>
      </c>
      <c r="E385" s="5">
        <v>1.9</v>
      </c>
      <c r="F385" s="5">
        <v>4.1</v>
      </c>
      <c r="G385" s="5">
        <v>0.4</v>
      </c>
      <c r="H385" s="72">
        <v>-5.551115123125783E-16</v>
      </c>
      <c r="I385" s="5">
        <v>14.1</v>
      </c>
      <c r="J385" s="5">
        <v>12.6</v>
      </c>
      <c r="K385" s="5">
        <v>97</v>
      </c>
      <c r="L385" s="5">
        <v>191</v>
      </c>
      <c r="M385" s="5">
        <v>64</v>
      </c>
      <c r="N385" s="5">
        <v>217</v>
      </c>
      <c r="O385" s="5">
        <v>116</v>
      </c>
      <c r="P385" s="5">
        <v>-2726</v>
      </c>
      <c r="Q385" s="5">
        <v>-1124</v>
      </c>
      <c r="R385" s="5">
        <v>236</v>
      </c>
      <c r="S385" s="5">
        <v>-2099</v>
      </c>
      <c r="T385" s="5">
        <v>-780</v>
      </c>
      <c r="U385" s="5">
        <v>107</v>
      </c>
      <c r="V385" s="5">
        <v>-120</v>
      </c>
      <c r="W385" s="5">
        <v>-15</v>
      </c>
      <c r="X385" s="5">
        <v>-135</v>
      </c>
      <c r="Y385" s="5">
        <v>-75</v>
      </c>
      <c r="Z385" s="5">
        <v>-120</v>
      </c>
      <c r="AA385" s="5">
        <v>-115</v>
      </c>
      <c r="AB385" s="5">
        <v>-45</v>
      </c>
      <c r="AC385" s="5">
        <v>-38</v>
      </c>
      <c r="AD385" s="5">
        <v>-38</v>
      </c>
      <c r="AE385" s="5">
        <v>-53</v>
      </c>
      <c r="AF385" s="5">
        <v>-2</v>
      </c>
      <c r="AG385" s="5">
        <v>0</v>
      </c>
      <c r="AH385" s="5">
        <v>0</v>
      </c>
      <c r="AI385" s="5">
        <v>0</v>
      </c>
      <c r="AJ385" s="5">
        <v>0</v>
      </c>
      <c r="AK385" s="5">
        <v>0</v>
      </c>
      <c r="AL385" s="5">
        <v>7</v>
      </c>
      <c r="AM385" s="5"/>
      <c r="AN385" s="5"/>
      <c r="AO385" s="5"/>
      <c r="AP385" s="5"/>
      <c r="AQ385" s="5"/>
      <c r="AR385" s="5"/>
      <c r="AS385" s="5"/>
      <c r="AT385" s="5"/>
      <c r="AU385" s="5"/>
    </row>
    <row r="386" spans="1:47" s="1" customFormat="1" ht="12.75">
      <c r="A386" t="s">
        <v>231</v>
      </c>
      <c r="B386" s="5"/>
      <c r="C386" s="5"/>
      <c r="D386" s="5"/>
      <c r="E386" s="5"/>
      <c r="F386" s="5"/>
      <c r="G386" s="5"/>
      <c r="H386" s="5"/>
      <c r="I386" s="5"/>
      <c r="J386" s="5"/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-20</v>
      </c>
      <c r="Q386" s="5">
        <v>-175</v>
      </c>
      <c r="R386" s="5">
        <v>-653</v>
      </c>
      <c r="S386" s="5">
        <v>-841</v>
      </c>
      <c r="T386" s="5">
        <v>-701</v>
      </c>
      <c r="U386" s="5">
        <v>-2000</v>
      </c>
      <c r="V386" s="5">
        <v>0</v>
      </c>
      <c r="W386" s="5">
        <v>0</v>
      </c>
      <c r="X386" s="5">
        <v>0</v>
      </c>
      <c r="Y386" s="5">
        <v>0</v>
      </c>
      <c r="Z386" s="5">
        <v>0</v>
      </c>
      <c r="AA386" s="5">
        <v>0</v>
      </c>
      <c r="AB386" s="5">
        <v>0</v>
      </c>
      <c r="AC386" s="5">
        <v>0</v>
      </c>
      <c r="AD386" s="5">
        <v>0</v>
      </c>
      <c r="AE386" s="5">
        <v>419</v>
      </c>
      <c r="AF386" s="5">
        <v>1950</v>
      </c>
      <c r="AG386" s="5">
        <v>358</v>
      </c>
      <c r="AH386" s="5">
        <v>4393</v>
      </c>
      <c r="AI386" s="5">
        <v>-600</v>
      </c>
      <c r="AJ386" s="5">
        <v>6384</v>
      </c>
      <c r="AK386" s="5">
        <v>-10225</v>
      </c>
      <c r="AL386" s="5"/>
      <c r="AM386" s="5"/>
      <c r="AN386" s="5"/>
      <c r="AO386" s="5"/>
      <c r="AP386" s="5"/>
      <c r="AQ386" s="5"/>
      <c r="AR386" s="5"/>
      <c r="AS386" s="5"/>
      <c r="AT386" s="5"/>
      <c r="AU386" s="5"/>
    </row>
    <row r="387" s="2" customFormat="1" ht="12.75">
      <c r="A387"/>
    </row>
    <row r="388" spans="1:47" s="1" customFormat="1" ht="12.75">
      <c r="A388" s="77" t="s">
        <v>232</v>
      </c>
      <c r="B388" s="1">
        <v>68.8</v>
      </c>
      <c r="C388" s="1">
        <v>15.4</v>
      </c>
      <c r="D388" s="1">
        <v>86.8</v>
      </c>
      <c r="E388" s="1">
        <v>0.29999999999999716</v>
      </c>
      <c r="F388" s="1">
        <v>-44.2</v>
      </c>
      <c r="G388" s="1">
        <v>-45.6</v>
      </c>
      <c r="H388" s="1">
        <v>19.2</v>
      </c>
      <c r="I388" s="1">
        <v>105.6</v>
      </c>
      <c r="J388" s="1">
        <v>201.6</v>
      </c>
      <c r="K388" s="1">
        <v>363</v>
      </c>
      <c r="L388" s="1">
        <v>402</v>
      </c>
      <c r="M388" s="1">
        <v>396</v>
      </c>
      <c r="N388" s="1">
        <v>651</v>
      </c>
      <c r="O388" s="1">
        <v>523</v>
      </c>
      <c r="P388" s="1">
        <v>751</v>
      </c>
      <c r="Q388" s="1">
        <v>-3458</v>
      </c>
      <c r="R388" s="1">
        <v>-3372</v>
      </c>
      <c r="S388" s="1">
        <v>-1405</v>
      </c>
      <c r="T388" s="1">
        <v>696</v>
      </c>
      <c r="U388" s="1">
        <v>3425</v>
      </c>
      <c r="V388" s="1">
        <v>-4676</v>
      </c>
      <c r="W388" s="1">
        <v>-26</v>
      </c>
      <c r="X388" s="1">
        <v>2261</v>
      </c>
      <c r="Y388" s="1">
        <v>-6855</v>
      </c>
      <c r="Z388" s="1">
        <v>-151</v>
      </c>
      <c r="AA388" s="1">
        <v>-306</v>
      </c>
      <c r="AB388" s="1">
        <v>-115</v>
      </c>
      <c r="AC388" s="1">
        <v>840</v>
      </c>
      <c r="AD388" s="1">
        <v>757</v>
      </c>
      <c r="AE388" s="1">
        <v>113</v>
      </c>
      <c r="AF388" s="1">
        <v>1529</v>
      </c>
      <c r="AG388" s="1">
        <v>488</v>
      </c>
      <c r="AH388" s="1">
        <v>978</v>
      </c>
      <c r="AI388" s="1">
        <v>4957</v>
      </c>
      <c r="AJ388" s="1">
        <v>-1247</v>
      </c>
      <c r="AK388" s="1">
        <v>10081</v>
      </c>
      <c r="AL388" s="1">
        <v>1748</v>
      </c>
      <c r="AM388" s="2">
        <v>0</v>
      </c>
      <c r="AN388" s="2">
        <v>0</v>
      </c>
      <c r="AO388" s="2">
        <v>0</v>
      </c>
      <c r="AP388" s="2">
        <v>0</v>
      </c>
      <c r="AQ388" s="2">
        <v>0</v>
      </c>
      <c r="AR388" s="2">
        <v>0</v>
      </c>
      <c r="AS388" s="2">
        <v>0</v>
      </c>
      <c r="AT388" s="2">
        <v>0</v>
      </c>
      <c r="AU388" s="2">
        <v>0</v>
      </c>
    </row>
    <row r="389" spans="1:47" s="1" customFormat="1" ht="12.75">
      <c r="A389" t="s">
        <v>233</v>
      </c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</row>
    <row r="390" spans="1:47" s="2" customFormat="1" ht="12.75">
      <c r="A390" t="s">
        <v>234</v>
      </c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</row>
    <row r="391" spans="1:47" s="2" customFormat="1" ht="12.75">
      <c r="A391" t="s">
        <v>235</v>
      </c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</row>
    <row r="392" spans="1:47" s="2" customFormat="1" ht="12.75">
      <c r="A392" t="s">
        <v>236</v>
      </c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</row>
    <row r="393" spans="1:47" s="2" customFormat="1" ht="12.75">
      <c r="A393" t="s">
        <v>237</v>
      </c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</row>
    <row r="394" spans="1:47" s="2" customFormat="1" ht="12.75">
      <c r="A394" t="s">
        <v>238</v>
      </c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</row>
    <row r="395" spans="1:47" s="2" customFormat="1" ht="12.75">
      <c r="A395" s="39" t="s">
        <v>239</v>
      </c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</row>
    <row r="396" spans="1:47" s="2" customFormat="1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</row>
    <row r="397" spans="1:47" s="79" customFormat="1" ht="15">
      <c r="A397" s="82" t="s">
        <v>240</v>
      </c>
      <c r="B397" s="66"/>
      <c r="C397" s="66"/>
      <c r="D397" s="66"/>
      <c r="E397" s="66"/>
      <c r="F397" s="66"/>
      <c r="G397" s="66"/>
      <c r="H397" s="66"/>
      <c r="I397" s="66"/>
      <c r="J397" s="66"/>
      <c r="K397" s="66">
        <v>0</v>
      </c>
      <c r="L397" s="66">
        <v>0</v>
      </c>
      <c r="M397" s="66">
        <v>0</v>
      </c>
      <c r="N397" s="66">
        <v>0</v>
      </c>
      <c r="O397" s="66">
        <v>0</v>
      </c>
      <c r="P397" s="66">
        <v>-185</v>
      </c>
      <c r="Q397" s="66">
        <v>58</v>
      </c>
      <c r="R397" s="66">
        <v>318</v>
      </c>
      <c r="S397" s="66">
        <v>338</v>
      </c>
      <c r="T397" s="66">
        <v>-489</v>
      </c>
      <c r="U397" s="66">
        <v>319</v>
      </c>
      <c r="V397" s="66">
        <v>-2093</v>
      </c>
      <c r="W397" s="66">
        <v>-802</v>
      </c>
      <c r="X397" s="66">
        <v>-57</v>
      </c>
      <c r="Y397" s="66">
        <v>-800</v>
      </c>
      <c r="Z397" s="66">
        <v>287</v>
      </c>
      <c r="AA397" s="66">
        <v>-2054</v>
      </c>
      <c r="AB397" s="66">
        <v>-1353</v>
      </c>
      <c r="AC397" s="66">
        <v>1370</v>
      </c>
      <c r="AD397" s="66">
        <v>349</v>
      </c>
      <c r="AE397" s="66">
        <v>-159</v>
      </c>
      <c r="AF397" s="66">
        <v>-216</v>
      </c>
      <c r="AG397" s="66">
        <v>-551</v>
      </c>
      <c r="AH397" s="66">
        <v>661</v>
      </c>
      <c r="AI397" s="66">
        <v>342</v>
      </c>
      <c r="AJ397" s="66">
        <v>426</v>
      </c>
      <c r="AK397" s="66">
        <v>-277</v>
      </c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</row>
    <row r="398" spans="1:47" s="79" customFormat="1" ht="15">
      <c r="A398" s="77" t="s">
        <v>241</v>
      </c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77"/>
      <c r="AE398" s="77"/>
      <c r="AF398" s="77"/>
      <c r="AG398" s="77"/>
      <c r="AH398" s="77"/>
      <c r="AI398" s="77"/>
      <c r="AJ398" s="77"/>
      <c r="AK398" s="77"/>
      <c r="AL398" s="77"/>
      <c r="AM398" s="77"/>
      <c r="AN398" s="77"/>
      <c r="AO398" s="77"/>
      <c r="AP398" s="77"/>
      <c r="AQ398" s="77"/>
      <c r="AR398" s="77"/>
      <c r="AS398" s="77"/>
      <c r="AT398" s="77"/>
      <c r="AU398" s="77"/>
    </row>
    <row r="399" spans="1:47" s="1" customFormat="1" ht="12.75">
      <c r="A399" s="78" t="s">
        <v>242</v>
      </c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</row>
    <row r="400" spans="1:47" s="2" customFormat="1" ht="12.75">
      <c r="A400" s="78" t="s">
        <v>243</v>
      </c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</row>
    <row r="401" spans="1:47" s="2" customFormat="1" ht="12.75">
      <c r="A401" s="78" t="s">
        <v>244</v>
      </c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</row>
    <row r="402" spans="1:47" s="1" customFormat="1" ht="12.75">
      <c r="A402" s="26" t="s">
        <v>245</v>
      </c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77"/>
      <c r="AE402" s="77"/>
      <c r="AF402" s="77"/>
      <c r="AG402" s="77"/>
      <c r="AH402" s="77"/>
      <c r="AI402" s="77"/>
      <c r="AJ402" s="77"/>
      <c r="AK402" s="77"/>
      <c r="AL402" s="77"/>
      <c r="AM402" s="77"/>
      <c r="AN402" s="77"/>
      <c r="AO402" s="77"/>
      <c r="AP402" s="77"/>
      <c r="AQ402" s="77"/>
      <c r="AR402" s="77"/>
      <c r="AS402" s="77"/>
      <c r="AT402" s="77"/>
      <c r="AU402" s="77"/>
    </row>
    <row r="403" spans="1:47" s="1" customFormat="1" ht="12.75">
      <c r="A403" s="78" t="s">
        <v>242</v>
      </c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</row>
    <row r="404" spans="1:47" s="2" customFormat="1" ht="12.75">
      <c r="A404" s="78" t="s">
        <v>243</v>
      </c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</row>
    <row r="405" spans="1:47" s="1" customFormat="1" ht="12.75">
      <c r="A405" s="26" t="s">
        <v>246</v>
      </c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  <c r="AC405" s="77"/>
      <c r="AD405" s="77"/>
      <c r="AE405" s="77"/>
      <c r="AF405" s="77"/>
      <c r="AG405" s="77"/>
      <c r="AH405" s="77"/>
      <c r="AI405" s="77"/>
      <c r="AJ405" s="77"/>
      <c r="AK405" s="77"/>
      <c r="AL405" s="77"/>
      <c r="AM405" s="77"/>
      <c r="AN405" s="77"/>
      <c r="AO405" s="77"/>
      <c r="AP405" s="77"/>
      <c r="AQ405" s="77"/>
      <c r="AR405" s="77"/>
      <c r="AS405" s="77"/>
      <c r="AT405" s="77"/>
      <c r="AU405" s="77"/>
    </row>
    <row r="406" spans="1:47" s="1" customFormat="1" ht="12.75">
      <c r="A406" t="s">
        <v>247</v>
      </c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</row>
    <row r="407" spans="1:47" s="2" customFormat="1" ht="12.75">
      <c r="A407" t="s">
        <v>248</v>
      </c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</row>
    <row r="408" spans="1:47" s="2" customFormat="1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</row>
    <row r="409" spans="1:47" s="60" customFormat="1" ht="15">
      <c r="A409" s="80" t="s">
        <v>249</v>
      </c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1"/>
      <c r="AN409" s="81"/>
      <c r="AO409" s="81"/>
      <c r="AP409" s="81"/>
      <c r="AQ409" s="81"/>
      <c r="AR409" s="81"/>
      <c r="AS409" s="81"/>
      <c r="AT409" s="81"/>
      <c r="AU409" s="81"/>
    </row>
    <row r="410" spans="1:47" s="2" customFormat="1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</row>
    <row r="411" spans="1:47" s="60" customFormat="1" ht="15">
      <c r="A411" s="54" t="s">
        <v>250</v>
      </c>
      <c r="B411" s="81">
        <f>B397+B383</f>
        <v>68.8</v>
      </c>
      <c r="C411" s="81">
        <f aca="true" t="shared" si="293" ref="C411:R411">C397+C383</f>
        <v>16.6</v>
      </c>
      <c r="D411" s="81">
        <f t="shared" si="293"/>
        <v>89.39999999999999</v>
      </c>
      <c r="E411" s="81">
        <f t="shared" si="293"/>
        <v>2.199999999999997</v>
      </c>
      <c r="F411" s="81">
        <f t="shared" si="293"/>
        <v>-40.1</v>
      </c>
      <c r="G411" s="81">
        <f t="shared" si="293"/>
        <v>-45.2</v>
      </c>
      <c r="H411" s="81">
        <f t="shared" si="293"/>
        <v>19.2</v>
      </c>
      <c r="I411" s="81">
        <f t="shared" si="293"/>
        <v>119.69999999999999</v>
      </c>
      <c r="J411" s="81">
        <f t="shared" si="293"/>
        <v>214.2</v>
      </c>
      <c r="K411" s="81">
        <f t="shared" si="293"/>
        <v>460</v>
      </c>
      <c r="L411" s="81">
        <f t="shared" si="293"/>
        <v>593</v>
      </c>
      <c r="M411" s="81">
        <f t="shared" si="293"/>
        <v>460</v>
      </c>
      <c r="N411" s="81">
        <f t="shared" si="293"/>
        <v>868</v>
      </c>
      <c r="O411" s="81">
        <f t="shared" si="293"/>
        <v>639</v>
      </c>
      <c r="P411" s="81">
        <f t="shared" si="293"/>
        <v>-2180</v>
      </c>
      <c r="Q411" s="81">
        <f t="shared" si="293"/>
        <v>-4699</v>
      </c>
      <c r="R411" s="81">
        <f t="shared" si="293"/>
        <v>-3471</v>
      </c>
      <c r="S411" s="81">
        <f aca="true" t="shared" si="294" ref="S411:AH411">S397+S383</f>
        <v>-4007</v>
      </c>
      <c r="T411" s="81">
        <f t="shared" si="294"/>
        <v>-1274</v>
      </c>
      <c r="U411" s="81">
        <f t="shared" si="294"/>
        <v>1851</v>
      </c>
      <c r="V411" s="81">
        <f t="shared" si="294"/>
        <v>-6889</v>
      </c>
      <c r="W411" s="81">
        <f t="shared" si="294"/>
        <v>-843</v>
      </c>
      <c r="X411" s="81">
        <f t="shared" si="294"/>
        <v>2069</v>
      </c>
      <c r="Y411" s="81">
        <f t="shared" si="294"/>
        <v>-7730</v>
      </c>
      <c r="Z411" s="81">
        <f t="shared" si="294"/>
        <v>16</v>
      </c>
      <c r="AA411" s="81">
        <f t="shared" si="294"/>
        <v>-2475</v>
      </c>
      <c r="AB411" s="81">
        <f t="shared" si="294"/>
        <v>-1513</v>
      </c>
      <c r="AC411" s="81">
        <f t="shared" si="294"/>
        <v>2172</v>
      </c>
      <c r="AD411" s="81">
        <f t="shared" si="294"/>
        <v>1068</v>
      </c>
      <c r="AE411" s="81">
        <f t="shared" si="294"/>
        <v>320</v>
      </c>
      <c r="AF411" s="81">
        <f t="shared" si="294"/>
        <v>3261</v>
      </c>
      <c r="AG411" s="81">
        <f t="shared" si="294"/>
        <v>295</v>
      </c>
      <c r="AH411" s="81">
        <f t="shared" si="294"/>
        <v>6032</v>
      </c>
      <c r="AI411" s="81">
        <f aca="true" t="shared" si="295" ref="AI411:AQ411">AI397+AI383</f>
        <v>4699</v>
      </c>
      <c r="AJ411" s="81">
        <f t="shared" si="295"/>
        <v>5563</v>
      </c>
      <c r="AK411" s="81">
        <f t="shared" si="295"/>
        <v>-421</v>
      </c>
      <c r="AL411" s="81">
        <f t="shared" si="295"/>
        <v>1755</v>
      </c>
      <c r="AM411" s="81">
        <f t="shared" si="295"/>
        <v>0</v>
      </c>
      <c r="AN411" s="81">
        <f t="shared" si="295"/>
        <v>0</v>
      </c>
      <c r="AO411" s="81">
        <f t="shared" si="295"/>
        <v>0</v>
      </c>
      <c r="AP411" s="81">
        <f t="shared" si="295"/>
        <v>0</v>
      </c>
      <c r="AQ411" s="81">
        <f t="shared" si="295"/>
        <v>0</v>
      </c>
      <c r="AR411" s="81">
        <f>AR397+AR383</f>
        <v>0</v>
      </c>
      <c r="AS411" s="81">
        <f>AS397+AS383</f>
        <v>0</v>
      </c>
      <c r="AT411" s="81">
        <f>AT397+AT383</f>
        <v>0</v>
      </c>
      <c r="AU411" s="81">
        <f>AU397+AU383</f>
        <v>0</v>
      </c>
    </row>
    <row r="412" spans="1:47" s="2" customFormat="1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</row>
    <row r="413" spans="1:47" s="12" customFormat="1" ht="12.75">
      <c r="A413" s="16" t="s">
        <v>251</v>
      </c>
      <c r="B413" s="83">
        <v>68.8</v>
      </c>
      <c r="C413" s="83">
        <v>16.6</v>
      </c>
      <c r="D413" s="83">
        <v>89.4</v>
      </c>
      <c r="E413" s="83">
        <v>2.2</v>
      </c>
      <c r="F413" s="83">
        <v>-40.1</v>
      </c>
      <c r="G413" s="83">
        <v>-45.2</v>
      </c>
      <c r="H413" s="83">
        <v>19.2</v>
      </c>
      <c r="I413" s="83">
        <v>119.7</v>
      </c>
      <c r="J413" s="83">
        <v>214.2</v>
      </c>
      <c r="K413" s="83">
        <v>460</v>
      </c>
      <c r="L413" s="83">
        <v>593</v>
      </c>
      <c r="M413" s="83">
        <v>460</v>
      </c>
      <c r="N413" s="83">
        <v>868</v>
      </c>
      <c r="O413" s="83">
        <v>639</v>
      </c>
      <c r="P413" s="83">
        <v>-2180</v>
      </c>
      <c r="Q413" s="83">
        <v>-4699</v>
      </c>
      <c r="R413" s="83">
        <v>-3471</v>
      </c>
      <c r="S413" s="83">
        <v>-4007</v>
      </c>
      <c r="T413" s="83">
        <v>-1274</v>
      </c>
      <c r="U413" s="83">
        <v>1851</v>
      </c>
      <c r="V413" s="83">
        <v>-6889</v>
      </c>
      <c r="W413" s="83">
        <v>-843</v>
      </c>
      <c r="X413" s="83">
        <v>2069</v>
      </c>
      <c r="Y413" s="83">
        <v>-7730</v>
      </c>
      <c r="Z413" s="83">
        <v>16</v>
      </c>
      <c r="AA413" s="83">
        <v>-2475</v>
      </c>
      <c r="AB413" s="83">
        <v>-1513</v>
      </c>
      <c r="AC413" s="83">
        <v>2172</v>
      </c>
      <c r="AD413" s="83">
        <v>1068</v>
      </c>
      <c r="AE413" s="83">
        <v>320</v>
      </c>
      <c r="AF413" s="83">
        <v>3261</v>
      </c>
      <c r="AG413" s="83">
        <v>295</v>
      </c>
      <c r="AH413" s="83">
        <v>6032</v>
      </c>
      <c r="AI413" s="83">
        <v>4699</v>
      </c>
      <c r="AJ413" s="83">
        <v>5563</v>
      </c>
      <c r="AK413" s="83">
        <v>-421</v>
      </c>
      <c r="AL413" s="83">
        <v>921</v>
      </c>
      <c r="AM413" s="83">
        <v>0</v>
      </c>
      <c r="AN413" s="83">
        <v>0</v>
      </c>
      <c r="AO413" s="83">
        <v>0</v>
      </c>
      <c r="AP413" s="83">
        <v>0</v>
      </c>
      <c r="AQ413" s="83">
        <v>0</v>
      </c>
      <c r="AR413" s="83">
        <v>0</v>
      </c>
      <c r="AS413" s="83">
        <v>0</v>
      </c>
      <c r="AT413" s="83">
        <v>0</v>
      </c>
      <c r="AU413" s="83">
        <v>0</v>
      </c>
    </row>
    <row r="414" spans="1:47" s="2" customFormat="1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</row>
    <row r="415" spans="1:47" s="59" customFormat="1" ht="12" customHeight="1">
      <c r="A415" s="77" t="s">
        <v>252</v>
      </c>
      <c r="B415" s="77">
        <f>B411-B413</f>
        <v>0</v>
      </c>
      <c r="C415" s="77">
        <f aca="true" t="shared" si="296" ref="C415:R415">C411-C413</f>
        <v>0</v>
      </c>
      <c r="D415" s="167">
        <f t="shared" si="296"/>
        <v>0</v>
      </c>
      <c r="E415" s="167">
        <f t="shared" si="296"/>
        <v>0</v>
      </c>
      <c r="F415" s="77">
        <f t="shared" si="296"/>
        <v>0</v>
      </c>
      <c r="G415" s="77">
        <f t="shared" si="296"/>
        <v>0</v>
      </c>
      <c r="H415" s="77">
        <f t="shared" si="296"/>
        <v>0</v>
      </c>
      <c r="I415" s="77">
        <f t="shared" si="296"/>
        <v>0</v>
      </c>
      <c r="J415" s="77">
        <f t="shared" si="296"/>
        <v>0</v>
      </c>
      <c r="K415" s="77">
        <f t="shared" si="296"/>
        <v>0</v>
      </c>
      <c r="L415" s="77">
        <f t="shared" si="296"/>
        <v>0</v>
      </c>
      <c r="M415" s="77">
        <f t="shared" si="296"/>
        <v>0</v>
      </c>
      <c r="N415" s="77">
        <f t="shared" si="296"/>
        <v>0</v>
      </c>
      <c r="O415" s="77">
        <f t="shared" si="296"/>
        <v>0</v>
      </c>
      <c r="P415" s="77">
        <f t="shared" si="296"/>
        <v>0</v>
      </c>
      <c r="Q415" s="77">
        <f t="shared" si="296"/>
        <v>0</v>
      </c>
      <c r="R415" s="77">
        <f t="shared" si="296"/>
        <v>0</v>
      </c>
      <c r="S415" s="77">
        <f aca="true" t="shared" si="297" ref="S415:AH415">S411-S413</f>
        <v>0</v>
      </c>
      <c r="T415" s="77">
        <f t="shared" si="297"/>
        <v>0</v>
      </c>
      <c r="U415" s="77">
        <f t="shared" si="297"/>
        <v>0</v>
      </c>
      <c r="V415" s="77">
        <f t="shared" si="297"/>
        <v>0</v>
      </c>
      <c r="W415" s="77">
        <f t="shared" si="297"/>
        <v>0</v>
      </c>
      <c r="X415" s="77">
        <f t="shared" si="297"/>
        <v>0</v>
      </c>
      <c r="Y415" s="77">
        <f t="shared" si="297"/>
        <v>0</v>
      </c>
      <c r="Z415" s="77">
        <f t="shared" si="297"/>
        <v>0</v>
      </c>
      <c r="AA415" s="77">
        <f t="shared" si="297"/>
        <v>0</v>
      </c>
      <c r="AB415" s="77">
        <f t="shared" si="297"/>
        <v>0</v>
      </c>
      <c r="AC415" s="77">
        <f t="shared" si="297"/>
        <v>0</v>
      </c>
      <c r="AD415" s="77">
        <f t="shared" si="297"/>
        <v>0</v>
      </c>
      <c r="AE415" s="77">
        <f t="shared" si="297"/>
        <v>0</v>
      </c>
      <c r="AF415" s="77">
        <f t="shared" si="297"/>
        <v>0</v>
      </c>
      <c r="AG415" s="77">
        <f t="shared" si="297"/>
        <v>0</v>
      </c>
      <c r="AH415" s="77">
        <f t="shared" si="297"/>
        <v>0</v>
      </c>
      <c r="AI415" s="77">
        <f aca="true" t="shared" si="298" ref="AI415:AQ415">AI411-AI413</f>
        <v>0</v>
      </c>
      <c r="AJ415" s="77">
        <f t="shared" si="298"/>
        <v>0</v>
      </c>
      <c r="AK415" s="77">
        <f t="shared" si="298"/>
        <v>0</v>
      </c>
      <c r="AL415" s="77">
        <f t="shared" si="298"/>
        <v>834</v>
      </c>
      <c r="AM415" s="77">
        <f t="shared" si="298"/>
        <v>0</v>
      </c>
      <c r="AN415" s="77">
        <f t="shared" si="298"/>
        <v>0</v>
      </c>
      <c r="AO415" s="77">
        <f t="shared" si="298"/>
        <v>0</v>
      </c>
      <c r="AP415" s="77">
        <f t="shared" si="298"/>
        <v>0</v>
      </c>
      <c r="AQ415" s="77">
        <f t="shared" si="298"/>
        <v>0</v>
      </c>
      <c r="AR415" s="77">
        <f>AR411-AR413</f>
        <v>0</v>
      </c>
      <c r="AS415" s="77">
        <f>AS411-AS413</f>
        <v>0</v>
      </c>
      <c r="AT415" s="77">
        <f>AT411-AT413</f>
        <v>0</v>
      </c>
      <c r="AU415" s="77">
        <f>AU411-AU413</f>
        <v>0</v>
      </c>
    </row>
    <row r="416" spans="1:47" s="12" customFormat="1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</row>
    <row r="417" spans="1:47" s="2" customFormat="1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</row>
    <row r="418" spans="1:47" s="2" customFormat="1" ht="12.75">
      <c r="A418" s="4"/>
      <c r="AM418"/>
      <c r="AN418"/>
      <c r="AO418"/>
      <c r="AP418"/>
      <c r="AQ418"/>
      <c r="AR418"/>
      <c r="AS418"/>
      <c r="AT418"/>
      <c r="AU418"/>
    </row>
    <row r="419" s="1" customFormat="1" ht="12.75">
      <c r="A419" s="3" t="s">
        <v>253</v>
      </c>
    </row>
    <row r="420" spans="1:47" s="2" customFormat="1" ht="12.75">
      <c r="A420" s="3" t="s">
        <v>254</v>
      </c>
      <c r="B420" s="109">
        <v>-382</v>
      </c>
      <c r="C420" s="109">
        <v>-334</v>
      </c>
      <c r="D420" s="109">
        <v>-381</v>
      </c>
      <c r="E420" s="109">
        <v>-191</v>
      </c>
      <c r="F420" s="109">
        <v>-52</v>
      </c>
      <c r="G420" s="109">
        <v>-146</v>
      </c>
      <c r="H420" s="109">
        <v>-215</v>
      </c>
      <c r="I420" s="109">
        <v>-170</v>
      </c>
      <c r="J420" s="109">
        <v>-127</v>
      </c>
      <c r="K420" s="109">
        <v>-414</v>
      </c>
      <c r="L420" s="109">
        <v>-539</v>
      </c>
      <c r="M420" s="109">
        <v>-507</v>
      </c>
      <c r="N420" s="109">
        <v>-118.35164</v>
      </c>
      <c r="O420" s="109">
        <v>-387.59847</v>
      </c>
      <c r="P420" s="109">
        <v>153.78477</v>
      </c>
      <c r="Q420" s="109">
        <v>12266.928</v>
      </c>
      <c r="R420" s="109">
        <v>4707.2595</v>
      </c>
      <c r="S420" s="109">
        <v>7660</v>
      </c>
      <c r="T420" s="109">
        <v>2816</v>
      </c>
      <c r="U420" s="109">
        <v>104</v>
      </c>
      <c r="V420" s="109">
        <v>11968</v>
      </c>
      <c r="W420" s="109">
        <v>-2438</v>
      </c>
      <c r="X420" s="109">
        <v>-3446</v>
      </c>
      <c r="Y420" s="109">
        <v>5733</v>
      </c>
      <c r="Z420" s="109">
        <v>358</v>
      </c>
      <c r="AA420" s="109">
        <v>-414</v>
      </c>
      <c r="AB420" s="109">
        <v>-476</v>
      </c>
      <c r="AC420" s="109">
        <v>-5155</v>
      </c>
      <c r="AD420" s="109">
        <v>-2090</v>
      </c>
      <c r="AE420" s="109">
        <v>-1868</v>
      </c>
      <c r="AF420" s="109">
        <v>-191</v>
      </c>
      <c r="AG420" s="109">
        <v>327</v>
      </c>
      <c r="AH420" s="109">
        <v>-7909</v>
      </c>
      <c r="AI420" s="109" t="e">
        <v>#N/A</v>
      </c>
      <c r="AJ420" s="109" t="e">
        <v>#N/A</v>
      </c>
      <c r="AK420" s="109" t="e">
        <v>#N/A</v>
      </c>
      <c r="AL420" s="109" t="e">
        <v>#N/A</v>
      </c>
      <c r="AM420" s="108"/>
      <c r="AN420" s="108"/>
      <c r="AO420" s="108"/>
      <c r="AP420" s="108"/>
      <c r="AQ420" s="108"/>
      <c r="AR420" s="108"/>
      <c r="AS420" s="108"/>
      <c r="AT420" s="108"/>
      <c r="AU420" s="108"/>
    </row>
    <row r="421" spans="1:47" s="2" customFormat="1" ht="12.75">
      <c r="A421" s="3" t="s">
        <v>255</v>
      </c>
      <c r="B421" s="109">
        <v>785</v>
      </c>
      <c r="C421" s="109">
        <v>833</v>
      </c>
      <c r="D421" s="109">
        <v>884</v>
      </c>
      <c r="E421" s="109">
        <v>989</v>
      </c>
      <c r="F421" s="109">
        <v>1062</v>
      </c>
      <c r="G421" s="109">
        <v>1137</v>
      </c>
      <c r="H421" s="109">
        <v>1253</v>
      </c>
      <c r="I421" s="109">
        <v>1392</v>
      </c>
      <c r="J421" s="109">
        <v>1662</v>
      </c>
      <c r="K421" s="109">
        <v>1827</v>
      </c>
      <c r="L421" s="109">
        <v>2144</v>
      </c>
      <c r="M421" s="109">
        <v>2417</v>
      </c>
      <c r="N421" s="109">
        <v>3724.0647</v>
      </c>
      <c r="O421" s="109">
        <v>3966.0986</v>
      </c>
      <c r="P421" s="109">
        <v>6121.5875</v>
      </c>
      <c r="Q421" s="109">
        <v>21356.481</v>
      </c>
      <c r="R421" s="109">
        <v>20431.716</v>
      </c>
      <c r="S421" s="109">
        <v>24719</v>
      </c>
      <c r="T421" s="109">
        <v>24076</v>
      </c>
      <c r="U421" s="109">
        <v>17675</v>
      </c>
      <c r="V421" s="109">
        <v>24171</v>
      </c>
      <c r="W421" s="109">
        <v>12338</v>
      </c>
      <c r="X421" s="109">
        <v>11831</v>
      </c>
      <c r="Y421" s="109">
        <v>20452</v>
      </c>
      <c r="Z421" s="109">
        <v>21507</v>
      </c>
      <c r="AA421" s="109">
        <v>17087</v>
      </c>
      <c r="AB421" s="109">
        <v>14175</v>
      </c>
      <c r="AC421" s="109">
        <v>7171</v>
      </c>
      <c r="AD421" s="109">
        <v>11916</v>
      </c>
      <c r="AE421" s="109">
        <v>10709</v>
      </c>
      <c r="AF421" s="109">
        <v>13081</v>
      </c>
      <c r="AG421" s="109">
        <v>19305</v>
      </c>
      <c r="AH421" s="109">
        <v>18415</v>
      </c>
      <c r="AI421" s="109" t="e">
        <v>#N/A</v>
      </c>
      <c r="AJ421" s="109" t="e">
        <v>#N/A</v>
      </c>
      <c r="AK421" s="109" t="e">
        <v>#N/A</v>
      </c>
      <c r="AL421" s="109" t="e">
        <v>#N/A</v>
      </c>
      <c r="AM421" s="108"/>
      <c r="AN421" s="108"/>
      <c r="AO421" s="108"/>
      <c r="AP421" s="108"/>
      <c r="AQ421" s="108"/>
      <c r="AR421" s="108"/>
      <c r="AS421" s="108"/>
      <c r="AT421" s="108"/>
      <c r="AU421" s="108"/>
    </row>
    <row r="422" spans="1:47" s="2" customFormat="1" ht="12.75">
      <c r="A422" s="3" t="s">
        <v>256</v>
      </c>
      <c r="B422" s="109">
        <v>-535</v>
      </c>
      <c r="C422" s="109">
        <v>-558</v>
      </c>
      <c r="D422" s="109">
        <v>-539</v>
      </c>
      <c r="E422" s="109">
        <v>-499</v>
      </c>
      <c r="F422" s="109">
        <v>-458</v>
      </c>
      <c r="G422" s="109">
        <v>-590</v>
      </c>
      <c r="H422" s="109">
        <v>-780</v>
      </c>
      <c r="I422" s="109">
        <v>-861</v>
      </c>
      <c r="J422" s="109">
        <v>-1074</v>
      </c>
      <c r="K422" s="109">
        <v>-1320</v>
      </c>
      <c r="L422" s="109">
        <v>-1555</v>
      </c>
      <c r="M422" s="109">
        <v>-1658</v>
      </c>
      <c r="N422" s="109">
        <v>-2069.1477</v>
      </c>
      <c r="O422" s="109">
        <v>-2590.5041</v>
      </c>
      <c r="P422" s="109">
        <v>-3985.2906</v>
      </c>
      <c r="Q422" s="109">
        <v>-7256.7298</v>
      </c>
      <c r="R422" s="109">
        <v>-12897.915</v>
      </c>
      <c r="S422" s="109">
        <v>-13860</v>
      </c>
      <c r="T422" s="109">
        <v>-16718</v>
      </c>
      <c r="U422" s="109">
        <v>-11803</v>
      </c>
      <c r="V422" s="109">
        <v>-8521</v>
      </c>
      <c r="W422" s="109">
        <v>-10888</v>
      </c>
      <c r="X422" s="109">
        <v>-13138</v>
      </c>
      <c r="Y422" s="109">
        <v>-12552</v>
      </c>
      <c r="Z422" s="109">
        <v>-18027</v>
      </c>
      <c r="AA422" s="109">
        <v>-14729</v>
      </c>
      <c r="AB422" s="109">
        <v>-12006</v>
      </c>
      <c r="AC422" s="109">
        <v>-10585</v>
      </c>
      <c r="AD422" s="109">
        <v>-12005</v>
      </c>
      <c r="AE422" s="109">
        <v>-10608</v>
      </c>
      <c r="AF422" s="109">
        <v>-13448</v>
      </c>
      <c r="AG422" s="109">
        <v>-18330</v>
      </c>
      <c r="AH422" s="109">
        <v>-24975</v>
      </c>
      <c r="AI422" s="109" t="e">
        <v>#N/A</v>
      </c>
      <c r="AJ422" s="109" t="e">
        <v>#N/A</v>
      </c>
      <c r="AK422" s="109" t="e">
        <v>#N/A</v>
      </c>
      <c r="AL422" s="109" t="e">
        <v>#N/A</v>
      </c>
      <c r="AM422" s="108"/>
      <c r="AN422" s="108"/>
      <c r="AO422" s="108"/>
      <c r="AP422" s="108"/>
      <c r="AQ422" s="108"/>
      <c r="AR422" s="108"/>
      <c r="AS422" s="108"/>
      <c r="AT422" s="108"/>
      <c r="AU422" s="108"/>
    </row>
    <row r="423" spans="1:47" s="2" customFormat="1" ht="12.75">
      <c r="A423" s="3" t="s">
        <v>257</v>
      </c>
      <c r="B423" s="109">
        <v>250</v>
      </c>
      <c r="C423" s="109">
        <v>275</v>
      </c>
      <c r="D423" s="109">
        <v>345</v>
      </c>
      <c r="E423" s="109">
        <v>490</v>
      </c>
      <c r="F423" s="109">
        <v>604</v>
      </c>
      <c r="G423" s="109">
        <v>547</v>
      </c>
      <c r="H423" s="109">
        <v>473</v>
      </c>
      <c r="I423" s="109">
        <v>531</v>
      </c>
      <c r="J423" s="109">
        <v>588</v>
      </c>
      <c r="K423" s="109">
        <v>507</v>
      </c>
      <c r="L423" s="109">
        <v>589</v>
      </c>
      <c r="M423" s="109">
        <v>759</v>
      </c>
      <c r="N423" s="109">
        <v>1654.917</v>
      </c>
      <c r="O423" s="109">
        <v>1375.5946</v>
      </c>
      <c r="P423" s="109">
        <v>2136.297</v>
      </c>
      <c r="Q423" s="109">
        <v>14099.751</v>
      </c>
      <c r="R423" s="109">
        <v>7533.8007</v>
      </c>
      <c r="S423" s="109">
        <v>10859</v>
      </c>
      <c r="T423" s="109">
        <v>7358</v>
      </c>
      <c r="U423" s="109">
        <v>5872</v>
      </c>
      <c r="V423" s="109">
        <v>15650</v>
      </c>
      <c r="W423" s="109">
        <v>1450</v>
      </c>
      <c r="X423" s="109">
        <v>-1307</v>
      </c>
      <c r="Y423" s="109">
        <v>7900</v>
      </c>
      <c r="Z423" s="109">
        <v>3480</v>
      </c>
      <c r="AA423" s="109">
        <v>2358</v>
      </c>
      <c r="AB423" s="109">
        <v>2169</v>
      </c>
      <c r="AC423" s="109">
        <v>-3414</v>
      </c>
      <c r="AD423" s="109">
        <v>-89</v>
      </c>
      <c r="AE423" s="109">
        <v>101</v>
      </c>
      <c r="AF423" s="109">
        <v>-367</v>
      </c>
      <c r="AG423" s="109">
        <v>975</v>
      </c>
      <c r="AH423" s="109">
        <v>-6560</v>
      </c>
      <c r="AI423" s="109" t="e">
        <v>#N/A</v>
      </c>
      <c r="AJ423" s="109" t="e">
        <v>#N/A</v>
      </c>
      <c r="AK423" s="109" t="e">
        <v>#N/A</v>
      </c>
      <c r="AL423" s="109" t="e">
        <v>#N/A</v>
      </c>
      <c r="AM423" s="108"/>
      <c r="AN423" s="108"/>
      <c r="AO423" s="108"/>
      <c r="AP423" s="108"/>
      <c r="AQ423" s="108"/>
      <c r="AR423" s="108"/>
      <c r="AS423" s="108"/>
      <c r="AT423" s="108"/>
      <c r="AU423" s="108"/>
    </row>
    <row r="424" spans="1:47" s="2" customFormat="1" ht="12.75">
      <c r="A424" s="3" t="s">
        <v>258</v>
      </c>
      <c r="B424" s="109">
        <v>64</v>
      </c>
      <c r="C424" s="109">
        <v>79</v>
      </c>
      <c r="D424" s="109">
        <v>109</v>
      </c>
      <c r="E424" s="109">
        <v>88</v>
      </c>
      <c r="F424" s="109">
        <v>109</v>
      </c>
      <c r="G424" s="109">
        <v>121</v>
      </c>
      <c r="H424" s="109">
        <v>118</v>
      </c>
      <c r="I424" s="109">
        <v>128</v>
      </c>
      <c r="J424" s="109">
        <v>130</v>
      </c>
      <c r="K424" s="109">
        <v>162</v>
      </c>
      <c r="L424" s="109">
        <v>203</v>
      </c>
      <c r="M424" s="109">
        <v>196</v>
      </c>
      <c r="N424" s="109">
        <v>232.69136</v>
      </c>
      <c r="O424" s="109">
        <v>318.11303</v>
      </c>
      <c r="P424" s="109">
        <v>648.51872</v>
      </c>
      <c r="Q424" s="109">
        <v>1354.1726</v>
      </c>
      <c r="R424" s="109">
        <v>2472.0094</v>
      </c>
      <c r="S424" s="109">
        <v>3261</v>
      </c>
      <c r="T424" s="109">
        <v>4468</v>
      </c>
      <c r="U424" s="109">
        <v>4204</v>
      </c>
      <c r="V424" s="109">
        <v>2820</v>
      </c>
      <c r="W424" s="109">
        <v>1735</v>
      </c>
      <c r="X424" s="109">
        <v>1451</v>
      </c>
      <c r="Y424" s="109">
        <v>1121</v>
      </c>
      <c r="Z424" s="109">
        <v>1335</v>
      </c>
      <c r="AA424" s="109">
        <v>1069</v>
      </c>
      <c r="AB424" s="109">
        <v>763</v>
      </c>
      <c r="AC424" s="109">
        <v>607</v>
      </c>
      <c r="AD424" s="109">
        <v>437</v>
      </c>
      <c r="AE424" s="109">
        <v>467</v>
      </c>
      <c r="AF424" s="109">
        <v>798</v>
      </c>
      <c r="AG424" s="109">
        <v>892</v>
      </c>
      <c r="AH424" s="109">
        <v>1684</v>
      </c>
      <c r="AI424" s="109" t="e">
        <v>#N/A</v>
      </c>
      <c r="AJ424" s="109" t="e">
        <v>#N/A</v>
      </c>
      <c r="AK424" s="109" t="e">
        <v>#N/A</v>
      </c>
      <c r="AL424" s="109" t="e">
        <v>#N/A</v>
      </c>
      <c r="AM424" s="108"/>
      <c r="AN424" s="108"/>
      <c r="AO424" s="108"/>
      <c r="AP424" s="108"/>
      <c r="AQ424" s="108"/>
      <c r="AR424" s="108"/>
      <c r="AS424" s="108"/>
      <c r="AT424" s="108"/>
      <c r="AU424" s="108"/>
    </row>
    <row r="425" spans="1:47" s="2" customFormat="1" ht="12.75">
      <c r="A425" s="3" t="s">
        <v>259</v>
      </c>
      <c r="B425" s="109">
        <v>-699</v>
      </c>
      <c r="C425" s="109">
        <v>-701</v>
      </c>
      <c r="D425" s="109">
        <v>-842</v>
      </c>
      <c r="E425" s="109">
        <v>-779</v>
      </c>
      <c r="F425" s="109">
        <v>-784</v>
      </c>
      <c r="G425" s="109">
        <v>-821</v>
      </c>
      <c r="H425" s="109">
        <v>-813</v>
      </c>
      <c r="I425" s="109">
        <v>-840</v>
      </c>
      <c r="J425" s="109">
        <v>-854</v>
      </c>
      <c r="K425" s="109">
        <v>-1088</v>
      </c>
      <c r="L425" s="109">
        <v>-1335</v>
      </c>
      <c r="M425" s="109">
        <v>-1466</v>
      </c>
      <c r="N425" s="109">
        <v>-2009.9719</v>
      </c>
      <c r="O425" s="109">
        <v>-2085.6489</v>
      </c>
      <c r="P425" s="109">
        <v>-2628.6466</v>
      </c>
      <c r="Q425" s="109">
        <v>-3153.3221</v>
      </c>
      <c r="R425" s="109">
        <v>-5280.3383</v>
      </c>
      <c r="S425" s="109">
        <v>-6443</v>
      </c>
      <c r="T425" s="109">
        <v>-8885</v>
      </c>
      <c r="U425" s="109">
        <v>-9957</v>
      </c>
      <c r="V425" s="109">
        <v>-6487</v>
      </c>
      <c r="W425" s="109">
        <v>-5621</v>
      </c>
      <c r="X425" s="109">
        <v>-3590</v>
      </c>
      <c r="Y425" s="109">
        <v>-3288</v>
      </c>
      <c r="Z425" s="109">
        <v>-4457</v>
      </c>
      <c r="AA425" s="109">
        <v>-3841</v>
      </c>
      <c r="AB425" s="109">
        <v>-3408</v>
      </c>
      <c r="AC425" s="109">
        <v>-2348</v>
      </c>
      <c r="AD425" s="109">
        <v>-2438</v>
      </c>
      <c r="AE425" s="109">
        <v>-2436</v>
      </c>
      <c r="AF425" s="109">
        <v>-3122</v>
      </c>
      <c r="AG425" s="109">
        <v>-4040</v>
      </c>
      <c r="AH425" s="109">
        <v>-5533</v>
      </c>
      <c r="AI425" s="109" t="e">
        <v>#N/A</v>
      </c>
      <c r="AJ425" s="109" t="e">
        <v>#N/A</v>
      </c>
      <c r="AK425" s="109" t="e">
        <v>#N/A</v>
      </c>
      <c r="AL425" s="109" t="e">
        <v>#N/A</v>
      </c>
      <c r="AM425" s="108"/>
      <c r="AN425" s="108"/>
      <c r="AO425" s="108"/>
      <c r="AP425" s="108"/>
      <c r="AQ425" s="108"/>
      <c r="AR425" s="108"/>
      <c r="AS425" s="108"/>
      <c r="AT425" s="108"/>
      <c r="AU425" s="108"/>
    </row>
    <row r="426" spans="1:47" s="2" customFormat="1" ht="12.75">
      <c r="A426" s="3" t="s">
        <v>260</v>
      </c>
      <c r="B426" s="109">
        <v>2</v>
      </c>
      <c r="C426" s="109">
        <v>11</v>
      </c>
      <c r="D426" s="109">
        <v>6</v>
      </c>
      <c r="E426" s="109">
        <v>9</v>
      </c>
      <c r="F426" s="109">
        <v>17</v>
      </c>
      <c r="G426" s="109">
        <v>5</v>
      </c>
      <c r="H426" s="109">
        <v>3</v>
      </c>
      <c r="I426" s="109">
        <v>3</v>
      </c>
      <c r="J426" s="109">
        <v>2</v>
      </c>
      <c r="K426" s="109">
        <v>1</v>
      </c>
      <c r="L426" s="109">
        <v>0</v>
      </c>
      <c r="M426" s="109">
        <v>0</v>
      </c>
      <c r="N426" s="109">
        <v>0</v>
      </c>
      <c r="O426" s="109">
        <v>0</v>
      </c>
      <c r="P426" s="109">
        <v>-1.19213</v>
      </c>
      <c r="Q426" s="109">
        <v>-1.20264</v>
      </c>
      <c r="R426" s="109">
        <v>-1.21415</v>
      </c>
      <c r="S426" s="109">
        <v>0</v>
      </c>
      <c r="T426" s="109">
        <v>0</v>
      </c>
      <c r="U426" s="109">
        <v>0</v>
      </c>
      <c r="V426" s="109">
        <v>0</v>
      </c>
      <c r="W426" s="109">
        <v>0</v>
      </c>
      <c r="X426" s="109">
        <v>0</v>
      </c>
      <c r="Y426" s="109">
        <v>0</v>
      </c>
      <c r="Z426" s="109">
        <v>0</v>
      </c>
      <c r="AA426" s="109">
        <v>0</v>
      </c>
      <c r="AB426" s="109">
        <v>0</v>
      </c>
      <c r="AC426" s="109">
        <v>0</v>
      </c>
      <c r="AD426" s="109">
        <v>0</v>
      </c>
      <c r="AE426" s="109">
        <v>0</v>
      </c>
      <c r="AF426" s="109">
        <v>2500</v>
      </c>
      <c r="AG426" s="109">
        <v>2500</v>
      </c>
      <c r="AH426" s="109">
        <v>2500</v>
      </c>
      <c r="AI426" s="109" t="e">
        <v>#N/A</v>
      </c>
      <c r="AJ426" s="109" t="e">
        <v>#N/A</v>
      </c>
      <c r="AK426" s="109" t="e">
        <v>#N/A</v>
      </c>
      <c r="AL426" s="109" t="e">
        <v>#N/A</v>
      </c>
      <c r="AM426" s="108"/>
      <c r="AN426" s="108"/>
      <c r="AO426" s="108"/>
      <c r="AP426" s="108"/>
      <c r="AQ426" s="108"/>
      <c r="AR426" s="108"/>
      <c r="AS426" s="108"/>
      <c r="AT426" s="108"/>
      <c r="AU426" s="108"/>
    </row>
    <row r="427" spans="1:47" s="2" customFormat="1" ht="12.75">
      <c r="A427" s="3" t="s">
        <v>261</v>
      </c>
      <c r="B427" s="109">
        <v>1</v>
      </c>
      <c r="C427" s="109">
        <v>2</v>
      </c>
      <c r="D427" s="109">
        <v>1</v>
      </c>
      <c r="E427" s="109">
        <v>1</v>
      </c>
      <c r="F427" s="109">
        <v>2</v>
      </c>
      <c r="G427" s="109">
        <v>2</v>
      </c>
      <c r="H427" s="109">
        <v>4</v>
      </c>
      <c r="I427" s="109">
        <v>8</v>
      </c>
      <c r="J427" s="109">
        <v>7</v>
      </c>
      <c r="K427" s="109">
        <v>4</v>
      </c>
      <c r="L427" s="109">
        <v>4</v>
      </c>
      <c r="M427" s="109">
        <v>4</v>
      </c>
      <c r="N427" s="109">
        <v>4.01192</v>
      </c>
      <c r="O427" s="109">
        <v>4.34284</v>
      </c>
      <c r="P427" s="109">
        <v>-1.19213</v>
      </c>
      <c r="Q427" s="109">
        <v>-32.47128</v>
      </c>
      <c r="R427" s="109">
        <v>-16.9981</v>
      </c>
      <c r="S427" s="109">
        <v>-17</v>
      </c>
      <c r="T427" s="109">
        <v>-125</v>
      </c>
      <c r="U427" s="109">
        <v>-15</v>
      </c>
      <c r="V427" s="109">
        <v>-15</v>
      </c>
      <c r="W427" s="109">
        <v>-2</v>
      </c>
      <c r="X427" s="109">
        <v>0</v>
      </c>
      <c r="Y427" s="109">
        <v>0</v>
      </c>
      <c r="Z427" s="109">
        <v>0</v>
      </c>
      <c r="AA427" s="109">
        <v>0</v>
      </c>
      <c r="AB427" s="109">
        <v>0</v>
      </c>
      <c r="AC427" s="109">
        <v>0</v>
      </c>
      <c r="AD427" s="109">
        <v>0</v>
      </c>
      <c r="AE427" s="109">
        <v>0</v>
      </c>
      <c r="AF427" s="109">
        <v>0</v>
      </c>
      <c r="AG427" s="109">
        <v>0</v>
      </c>
      <c r="AH427" s="109">
        <v>0</v>
      </c>
      <c r="AI427" s="109" t="e">
        <v>#N/A</v>
      </c>
      <c r="AJ427" s="109" t="e">
        <v>#N/A</v>
      </c>
      <c r="AK427" s="109" t="e">
        <v>#N/A</v>
      </c>
      <c r="AL427" s="109" t="e">
        <v>#N/A</v>
      </c>
      <c r="AM427" s="108"/>
      <c r="AN427" s="108"/>
      <c r="AO427" s="108"/>
      <c r="AP427" s="108"/>
      <c r="AQ427" s="108"/>
      <c r="AR427" s="108"/>
      <c r="AS427" s="108"/>
      <c r="AT427" s="108"/>
      <c r="AU427" s="108"/>
    </row>
    <row r="428" spans="1:47" s="2" customFormat="1" ht="12.75">
      <c r="A428" s="3" t="s">
        <v>262</v>
      </c>
      <c r="B428" s="109" t="e">
        <v>#N/A</v>
      </c>
      <c r="C428" s="109" t="e">
        <v>#N/A</v>
      </c>
      <c r="D428" s="109">
        <v>108</v>
      </c>
      <c r="E428" s="109">
        <v>86</v>
      </c>
      <c r="F428" s="109">
        <v>106</v>
      </c>
      <c r="G428" s="109">
        <v>118</v>
      </c>
      <c r="H428" s="109">
        <v>112</v>
      </c>
      <c r="I428" s="109">
        <v>121</v>
      </c>
      <c r="J428" s="109">
        <v>126</v>
      </c>
      <c r="K428" s="109">
        <v>155</v>
      </c>
      <c r="L428" s="109">
        <v>192</v>
      </c>
      <c r="M428" s="109">
        <v>186</v>
      </c>
      <c r="N428" s="109">
        <v>222.66156</v>
      </c>
      <c r="O428" s="109">
        <v>302.91309</v>
      </c>
      <c r="P428" s="109">
        <v>598.44926</v>
      </c>
      <c r="Q428" s="109">
        <v>958.50408</v>
      </c>
      <c r="R428" s="109">
        <v>1770.2307</v>
      </c>
      <c r="S428" s="109">
        <v>2651</v>
      </c>
      <c r="T428" s="109">
        <v>3699</v>
      </c>
      <c r="U428" s="109">
        <v>3104</v>
      </c>
      <c r="V428" s="109">
        <v>1580</v>
      </c>
      <c r="W428" s="109">
        <v>731</v>
      </c>
      <c r="X428" s="109">
        <v>556</v>
      </c>
      <c r="Y428" s="109">
        <v>509</v>
      </c>
      <c r="Z428" s="109">
        <v>540</v>
      </c>
      <c r="AA428" s="109">
        <v>475</v>
      </c>
      <c r="AB428" s="109">
        <v>370</v>
      </c>
      <c r="AC428" s="109">
        <v>242</v>
      </c>
      <c r="AD428" s="109">
        <v>231</v>
      </c>
      <c r="AE428" s="109">
        <v>244</v>
      </c>
      <c r="AF428" s="109">
        <v>446</v>
      </c>
      <c r="AG428" s="109">
        <v>436</v>
      </c>
      <c r="AH428" s="109">
        <v>1212</v>
      </c>
      <c r="AI428" s="109" t="e">
        <v>#N/A</v>
      </c>
      <c r="AJ428" s="109" t="e">
        <v>#N/A</v>
      </c>
      <c r="AK428" s="109" t="e">
        <v>#N/A</v>
      </c>
      <c r="AL428" s="109" t="e">
        <v>#N/A</v>
      </c>
      <c r="AM428" s="108"/>
      <c r="AN428" s="108"/>
      <c r="AO428" s="108"/>
      <c r="AP428" s="108"/>
      <c r="AQ428" s="108"/>
      <c r="AR428" s="108"/>
      <c r="AS428" s="108"/>
      <c r="AT428" s="108"/>
      <c r="AU428" s="108"/>
    </row>
    <row r="429" spans="1:47" s="2" customFormat="1" ht="12.75">
      <c r="A429" s="3" t="s">
        <v>263</v>
      </c>
      <c r="B429" s="109" t="e">
        <v>#N/A</v>
      </c>
      <c r="C429" s="109" t="e">
        <v>#N/A</v>
      </c>
      <c r="D429" s="109">
        <v>-540</v>
      </c>
      <c r="E429" s="109">
        <v>-432</v>
      </c>
      <c r="F429" s="109">
        <v>-386</v>
      </c>
      <c r="G429" s="109">
        <v>-456</v>
      </c>
      <c r="H429" s="109">
        <v>-410</v>
      </c>
      <c r="I429" s="109">
        <v>-695</v>
      </c>
      <c r="J429" s="109">
        <v>-297</v>
      </c>
      <c r="K429" s="109">
        <v>-431</v>
      </c>
      <c r="L429" s="109">
        <v>-550</v>
      </c>
      <c r="M429" s="109">
        <v>-561</v>
      </c>
      <c r="N429" s="109">
        <v>-686.03832</v>
      </c>
      <c r="O429" s="109">
        <v>-815.36821</v>
      </c>
      <c r="P429" s="109">
        <v>-1317.3036</v>
      </c>
      <c r="Q429" s="109">
        <v>-2408.8879</v>
      </c>
      <c r="R429" s="109">
        <v>-4572.4889</v>
      </c>
      <c r="S429" s="109">
        <v>-5773</v>
      </c>
      <c r="T429" s="109">
        <v>-8201</v>
      </c>
      <c r="U429" s="109">
        <v>-9177</v>
      </c>
      <c r="V429" s="109">
        <v>-5690</v>
      </c>
      <c r="W429" s="109">
        <v>-5223</v>
      </c>
      <c r="X429" s="109">
        <v>-3315</v>
      </c>
      <c r="Y429" s="109">
        <v>-3061</v>
      </c>
      <c r="Z429" s="109">
        <v>-4273</v>
      </c>
      <c r="AA429" s="109">
        <v>-3698</v>
      </c>
      <c r="AB429" s="109">
        <v>-3308</v>
      </c>
      <c r="AC429" s="109">
        <v>-2282</v>
      </c>
      <c r="AD429" s="109">
        <v>-2372</v>
      </c>
      <c r="AE429" s="109">
        <v>-2354</v>
      </c>
      <c r="AF429" s="109">
        <v>-3018</v>
      </c>
      <c r="AG429" s="109">
        <v>-3962</v>
      </c>
      <c r="AH429" s="109">
        <v>-5448</v>
      </c>
      <c r="AI429" s="109" t="e">
        <v>#N/A</v>
      </c>
      <c r="AJ429" s="109" t="e">
        <v>#N/A</v>
      </c>
      <c r="AK429" s="109" t="e">
        <v>#N/A</v>
      </c>
      <c r="AL429" s="109" t="e">
        <v>#N/A</v>
      </c>
      <c r="AM429" s="108"/>
      <c r="AN429" s="108"/>
      <c r="AO429" s="108"/>
      <c r="AP429" s="108"/>
      <c r="AQ429" s="108"/>
      <c r="AR429" s="108"/>
      <c r="AS429" s="108"/>
      <c r="AT429" s="108"/>
      <c r="AU429" s="108"/>
    </row>
    <row r="430" spans="1:47" s="2" customFormat="1" ht="12.75">
      <c r="A430" s="3" t="s">
        <v>264</v>
      </c>
      <c r="B430" s="109" t="e">
        <v>#N/A</v>
      </c>
      <c r="C430" s="109" t="e">
        <v>#N/A</v>
      </c>
      <c r="D430" s="109">
        <v>1</v>
      </c>
      <c r="E430" s="109">
        <v>2</v>
      </c>
      <c r="F430" s="109">
        <v>3</v>
      </c>
      <c r="G430" s="109">
        <v>3</v>
      </c>
      <c r="H430" s="109">
        <v>6</v>
      </c>
      <c r="I430" s="109">
        <v>7</v>
      </c>
      <c r="J430" s="109">
        <v>4</v>
      </c>
      <c r="K430" s="109">
        <v>7</v>
      </c>
      <c r="L430" s="109">
        <v>11</v>
      </c>
      <c r="M430" s="109">
        <v>10</v>
      </c>
      <c r="N430" s="109">
        <v>10.0298</v>
      </c>
      <c r="O430" s="109">
        <v>15.19994</v>
      </c>
      <c r="P430" s="109">
        <v>50.06946</v>
      </c>
      <c r="Q430" s="109">
        <v>395.66856</v>
      </c>
      <c r="R430" s="109">
        <v>701.7787</v>
      </c>
      <c r="S430" s="109">
        <v>610</v>
      </c>
      <c r="T430" s="109">
        <v>769</v>
      </c>
      <c r="U430" s="109">
        <v>1100</v>
      </c>
      <c r="V430" s="109">
        <v>1240</v>
      </c>
      <c r="W430" s="109">
        <v>1004</v>
      </c>
      <c r="X430" s="109">
        <v>895</v>
      </c>
      <c r="Y430" s="109">
        <v>612</v>
      </c>
      <c r="Z430" s="109">
        <v>795</v>
      </c>
      <c r="AA430" s="109">
        <v>594</v>
      </c>
      <c r="AB430" s="109">
        <v>393</v>
      </c>
      <c r="AC430" s="109">
        <v>365</v>
      </c>
      <c r="AD430" s="109">
        <v>206</v>
      </c>
      <c r="AE430" s="109">
        <v>223</v>
      </c>
      <c r="AF430" s="109">
        <v>352</v>
      </c>
      <c r="AG430" s="109">
        <v>456</v>
      </c>
      <c r="AH430" s="109">
        <v>472</v>
      </c>
      <c r="AI430" s="109" t="e">
        <v>#N/A</v>
      </c>
      <c r="AJ430" s="109" t="e">
        <v>#N/A</v>
      </c>
      <c r="AK430" s="109" t="e">
        <v>#N/A</v>
      </c>
      <c r="AL430" s="109" t="e">
        <v>#N/A</v>
      </c>
      <c r="AM430" s="108"/>
      <c r="AN430" s="108"/>
      <c r="AO430" s="108"/>
      <c r="AP430" s="108"/>
      <c r="AQ430" s="108"/>
      <c r="AR430" s="108"/>
      <c r="AS430" s="108"/>
      <c r="AT430" s="108"/>
      <c r="AU430" s="108"/>
    </row>
    <row r="431" spans="1:47" s="2" customFormat="1" ht="12.75">
      <c r="A431" s="3" t="s">
        <v>265</v>
      </c>
      <c r="B431" s="109" t="e">
        <v>#N/A</v>
      </c>
      <c r="C431" s="109" t="e">
        <v>#N/A</v>
      </c>
      <c r="D431" s="109">
        <v>-302</v>
      </c>
      <c r="E431" s="109">
        <v>-347</v>
      </c>
      <c r="F431" s="109">
        <v>-398</v>
      </c>
      <c r="G431" s="109">
        <v>-365</v>
      </c>
      <c r="H431" s="109">
        <v>-403</v>
      </c>
      <c r="I431" s="109">
        <v>-145</v>
      </c>
      <c r="J431" s="109">
        <v>-557</v>
      </c>
      <c r="K431" s="109">
        <v>-657</v>
      </c>
      <c r="L431" s="109">
        <v>-785</v>
      </c>
      <c r="M431" s="109">
        <v>-905</v>
      </c>
      <c r="N431" s="109">
        <v>-1323.9336</v>
      </c>
      <c r="O431" s="109">
        <v>-1270.2807</v>
      </c>
      <c r="P431" s="109">
        <v>-1311.343</v>
      </c>
      <c r="Q431" s="109">
        <v>-744.43416</v>
      </c>
      <c r="R431" s="109">
        <v>-707.84945</v>
      </c>
      <c r="S431" s="109">
        <v>-670</v>
      </c>
      <c r="T431" s="109">
        <v>-684</v>
      </c>
      <c r="U431" s="109">
        <v>-780</v>
      </c>
      <c r="V431" s="109">
        <v>-797</v>
      </c>
      <c r="W431" s="109">
        <v>-398</v>
      </c>
      <c r="X431" s="109">
        <v>-275</v>
      </c>
      <c r="Y431" s="109">
        <v>-227</v>
      </c>
      <c r="Z431" s="109">
        <v>-184</v>
      </c>
      <c r="AA431" s="109">
        <v>-143</v>
      </c>
      <c r="AB431" s="109">
        <v>-100</v>
      </c>
      <c r="AC431" s="109">
        <v>-66</v>
      </c>
      <c r="AD431" s="109">
        <v>-66</v>
      </c>
      <c r="AE431" s="109">
        <v>-82</v>
      </c>
      <c r="AF431" s="109">
        <v>-104</v>
      </c>
      <c r="AG431" s="109">
        <v>-78</v>
      </c>
      <c r="AH431" s="109">
        <v>-85</v>
      </c>
      <c r="AI431" s="109" t="e">
        <v>#N/A</v>
      </c>
      <c r="AJ431" s="109" t="e">
        <v>#N/A</v>
      </c>
      <c r="AK431" s="109" t="e">
        <v>#N/A</v>
      </c>
      <c r="AL431" s="109" t="e">
        <v>#N/A</v>
      </c>
      <c r="AM431" s="108"/>
      <c r="AN431" s="108"/>
      <c r="AO431" s="108"/>
      <c r="AP431" s="108"/>
      <c r="AQ431" s="108"/>
      <c r="AR431" s="108"/>
      <c r="AS431" s="108"/>
      <c r="AT431" s="108"/>
      <c r="AU431" s="108"/>
    </row>
    <row r="432" spans="1:47" s="2" customFormat="1" ht="12.75">
      <c r="A432" s="3" t="s">
        <v>266</v>
      </c>
      <c r="B432" s="109">
        <v>7</v>
      </c>
      <c r="C432" s="109">
        <v>18</v>
      </c>
      <c r="D432" s="109">
        <v>22</v>
      </c>
      <c r="E432" s="109">
        <v>30</v>
      </c>
      <c r="F432" s="109">
        <v>28</v>
      </c>
      <c r="G432" s="109">
        <v>30</v>
      </c>
      <c r="H432" s="109">
        <v>33</v>
      </c>
      <c r="I432" s="109">
        <v>35</v>
      </c>
      <c r="J432" s="109">
        <v>35</v>
      </c>
      <c r="K432" s="109">
        <v>76</v>
      </c>
      <c r="L432" s="109">
        <v>94</v>
      </c>
      <c r="M432" s="109">
        <v>25</v>
      </c>
      <c r="N432" s="109">
        <v>65.1937</v>
      </c>
      <c r="O432" s="109">
        <v>91.19964</v>
      </c>
      <c r="P432" s="109">
        <v>561.49323</v>
      </c>
      <c r="Q432" s="109">
        <v>323.51016</v>
      </c>
      <c r="R432" s="109">
        <v>140.8414</v>
      </c>
      <c r="S432" s="109">
        <v>0</v>
      </c>
      <c r="T432" s="109">
        <v>0</v>
      </c>
      <c r="U432" s="109">
        <v>0</v>
      </c>
      <c r="V432" s="109">
        <v>0</v>
      </c>
      <c r="W432" s="109">
        <v>0</v>
      </c>
      <c r="X432" s="109">
        <v>0</v>
      </c>
      <c r="Y432" s="109">
        <v>0</v>
      </c>
      <c r="Z432" s="109">
        <v>0</v>
      </c>
      <c r="AA432" s="109">
        <v>0</v>
      </c>
      <c r="AB432" s="109">
        <v>0</v>
      </c>
      <c r="AC432" s="109">
        <v>0</v>
      </c>
      <c r="AD432" s="109">
        <v>0</v>
      </c>
      <c r="AE432" s="109">
        <v>0</v>
      </c>
      <c r="AF432" s="109">
        <v>0</v>
      </c>
      <c r="AG432" s="109">
        <v>0</v>
      </c>
      <c r="AH432" s="109">
        <v>0</v>
      </c>
      <c r="AI432" s="109" t="e">
        <v>#N/A</v>
      </c>
      <c r="AJ432" s="109" t="e">
        <v>#N/A</v>
      </c>
      <c r="AK432" s="109" t="e">
        <v>#N/A</v>
      </c>
      <c r="AL432" s="109" t="e">
        <v>#N/A</v>
      </c>
      <c r="AM432" s="108"/>
      <c r="AN432" s="108"/>
      <c r="AO432" s="108"/>
      <c r="AP432" s="108"/>
      <c r="AQ432" s="108"/>
      <c r="AR432" s="108"/>
      <c r="AS432" s="108"/>
      <c r="AT432" s="108"/>
      <c r="AU432" s="108"/>
    </row>
    <row r="433" spans="1:47" s="2" customFormat="1" ht="12.75">
      <c r="A433" s="3" t="s">
        <v>267</v>
      </c>
      <c r="B433" s="109">
        <v>0</v>
      </c>
      <c r="C433" s="109">
        <v>0</v>
      </c>
      <c r="D433" s="109">
        <v>0</v>
      </c>
      <c r="E433" s="109">
        <v>0</v>
      </c>
      <c r="F433" s="109">
        <v>0</v>
      </c>
      <c r="G433" s="109">
        <v>0</v>
      </c>
      <c r="H433" s="109">
        <v>0</v>
      </c>
      <c r="I433" s="109">
        <v>0</v>
      </c>
      <c r="J433" s="109">
        <v>0</v>
      </c>
      <c r="K433" s="109">
        <v>0</v>
      </c>
      <c r="L433" s="109">
        <v>0</v>
      </c>
      <c r="M433" s="109">
        <v>0</v>
      </c>
      <c r="N433" s="109">
        <v>0</v>
      </c>
      <c r="O433" s="109">
        <v>0</v>
      </c>
      <c r="P433" s="109">
        <v>0</v>
      </c>
      <c r="Q433" s="109">
        <v>0</v>
      </c>
      <c r="R433" s="109">
        <v>0</v>
      </c>
      <c r="S433" s="109">
        <v>0</v>
      </c>
      <c r="T433" s="109">
        <v>0</v>
      </c>
      <c r="U433" s="109">
        <v>0</v>
      </c>
      <c r="V433" s="109">
        <v>0</v>
      </c>
      <c r="W433" s="109">
        <v>0</v>
      </c>
      <c r="X433" s="109">
        <v>0</v>
      </c>
      <c r="Y433" s="109">
        <v>0</v>
      </c>
      <c r="Z433" s="109">
        <v>0</v>
      </c>
      <c r="AA433" s="109">
        <v>0</v>
      </c>
      <c r="AB433" s="109">
        <v>0</v>
      </c>
      <c r="AC433" s="109">
        <v>0</v>
      </c>
      <c r="AD433" s="109">
        <v>0</v>
      </c>
      <c r="AE433" s="109">
        <v>0</v>
      </c>
      <c r="AF433" s="109">
        <v>0</v>
      </c>
      <c r="AG433" s="109">
        <v>0</v>
      </c>
      <c r="AH433" s="109">
        <v>0</v>
      </c>
      <c r="AI433" s="109" t="e">
        <v>#N/A</v>
      </c>
      <c r="AJ433" s="109" t="e">
        <v>#N/A</v>
      </c>
      <c r="AK433" s="109" t="e">
        <v>#N/A</v>
      </c>
      <c r="AL433" s="109" t="e">
        <v>#N/A</v>
      </c>
      <c r="AM433" s="108"/>
      <c r="AN433" s="108"/>
      <c r="AO433" s="108"/>
      <c r="AP433" s="108"/>
      <c r="AQ433" s="108"/>
      <c r="AR433" s="108"/>
      <c r="AS433" s="108"/>
      <c r="AT433" s="108"/>
      <c r="AU433" s="108"/>
    </row>
    <row r="434" spans="1:47" s="2" customFormat="1" ht="12.75">
      <c r="A434" s="3" t="s">
        <v>268</v>
      </c>
      <c r="B434" s="109">
        <v>74</v>
      </c>
      <c r="C434" s="109">
        <v>92</v>
      </c>
      <c r="D434" s="109">
        <v>84</v>
      </c>
      <c r="E434" s="109">
        <v>102</v>
      </c>
      <c r="F434" s="109">
        <v>123</v>
      </c>
      <c r="G434" s="109">
        <v>114</v>
      </c>
      <c r="H434" s="109">
        <v>138</v>
      </c>
      <c r="I434" s="109">
        <v>201</v>
      </c>
      <c r="J434" s="109">
        <v>140</v>
      </c>
      <c r="K434" s="109">
        <v>352</v>
      </c>
      <c r="L434" s="109">
        <v>535</v>
      </c>
      <c r="M434" s="109">
        <v>437</v>
      </c>
      <c r="N434" s="109">
        <v>675.00554</v>
      </c>
      <c r="O434" s="109">
        <v>530.91219</v>
      </c>
      <c r="P434" s="109">
        <v>627.06038</v>
      </c>
      <c r="Q434" s="109">
        <v>-2262.1658</v>
      </c>
      <c r="R434" s="109">
        <v>-3009.8778</v>
      </c>
      <c r="S434" s="109">
        <v>-925</v>
      </c>
      <c r="T434" s="109">
        <v>1706</v>
      </c>
      <c r="U434" s="109">
        <v>317</v>
      </c>
      <c r="V434" s="109">
        <v>-110</v>
      </c>
      <c r="W434" s="109">
        <v>-5261</v>
      </c>
      <c r="X434" s="109">
        <v>289</v>
      </c>
      <c r="Y434" s="109">
        <v>-1866</v>
      </c>
      <c r="Z434" s="109">
        <v>-271</v>
      </c>
      <c r="AA434" s="109">
        <v>-421</v>
      </c>
      <c r="AB434" s="109">
        <v>-160</v>
      </c>
      <c r="AC434" s="109">
        <v>802</v>
      </c>
      <c r="AD434" s="109">
        <v>719</v>
      </c>
      <c r="AE434" s="109">
        <v>-41</v>
      </c>
      <c r="AF434" s="109">
        <v>1036</v>
      </c>
      <c r="AG434" s="109">
        <v>49</v>
      </c>
      <c r="AH434" s="109">
        <v>1137</v>
      </c>
      <c r="AI434" s="109" t="e">
        <v>#N/A</v>
      </c>
      <c r="AJ434" s="109" t="e">
        <v>#N/A</v>
      </c>
      <c r="AK434" s="109" t="e">
        <v>#N/A</v>
      </c>
      <c r="AL434" s="109" t="e">
        <v>#N/A</v>
      </c>
      <c r="AM434" s="108"/>
      <c r="AN434" s="108"/>
      <c r="AO434" s="108"/>
      <c r="AP434" s="108"/>
      <c r="AQ434" s="108"/>
      <c r="AR434" s="108"/>
      <c r="AS434" s="108"/>
      <c r="AT434" s="108"/>
      <c r="AU434" s="108"/>
    </row>
    <row r="435" spans="1:47" s="2" customFormat="1" ht="12.75">
      <c r="A435" s="3" t="s">
        <v>269</v>
      </c>
      <c r="B435" s="109">
        <v>254</v>
      </c>
      <c r="C435" s="109">
        <v>174</v>
      </c>
      <c r="D435" s="109">
        <v>325</v>
      </c>
      <c r="E435" s="109">
        <v>130</v>
      </c>
      <c r="F435" s="109">
        <v>-24</v>
      </c>
      <c r="G435" s="109">
        <v>2</v>
      </c>
      <c r="H435" s="109">
        <v>172</v>
      </c>
      <c r="I435" s="109">
        <v>4</v>
      </c>
      <c r="J435" s="109">
        <v>12</v>
      </c>
      <c r="K435" s="109">
        <v>-5</v>
      </c>
      <c r="L435" s="109">
        <v>8</v>
      </c>
      <c r="M435" s="109">
        <v>-9</v>
      </c>
      <c r="N435" s="109">
        <v>22.06556</v>
      </c>
      <c r="O435" s="109">
        <v>13.02852</v>
      </c>
      <c r="P435" s="109">
        <v>-729.58356</v>
      </c>
      <c r="Q435" s="109">
        <v>-3126.864</v>
      </c>
      <c r="R435" s="109">
        <v>-1079.3793</v>
      </c>
      <c r="S435" s="109">
        <v>-4032</v>
      </c>
      <c r="T435" s="109">
        <v>-2072</v>
      </c>
      <c r="U435" s="109">
        <v>-482</v>
      </c>
      <c r="V435" s="109">
        <v>-7913</v>
      </c>
      <c r="W435" s="109">
        <v>-2977</v>
      </c>
      <c r="X435" s="109">
        <v>1152</v>
      </c>
      <c r="Y435" s="109">
        <v>19</v>
      </c>
      <c r="Z435" s="109">
        <v>-2203</v>
      </c>
      <c r="AA435" s="109">
        <v>-2397</v>
      </c>
      <c r="AB435" s="109">
        <v>704</v>
      </c>
      <c r="AC435" s="109">
        <v>2325</v>
      </c>
      <c r="AD435" s="109">
        <v>992</v>
      </c>
      <c r="AE435" s="109">
        <v>476</v>
      </c>
      <c r="AF435" s="109">
        <v>2171</v>
      </c>
      <c r="AG435" s="109">
        <v>305</v>
      </c>
      <c r="AH435" s="109">
        <v>4393</v>
      </c>
      <c r="AI435" s="109" t="e">
        <v>#N/A</v>
      </c>
      <c r="AJ435" s="109" t="e">
        <v>#N/A</v>
      </c>
      <c r="AK435" s="109" t="e">
        <v>#N/A</v>
      </c>
      <c r="AL435" s="109" t="e">
        <v>#N/A</v>
      </c>
      <c r="AM435" s="108"/>
      <c r="AN435" s="108"/>
      <c r="AO435" s="108"/>
      <c r="AP435" s="108"/>
      <c r="AQ435" s="108"/>
      <c r="AR435" s="108"/>
      <c r="AS435" s="108"/>
      <c r="AT435" s="108"/>
      <c r="AU435" s="108"/>
    </row>
    <row r="436" spans="1:47" s="2" customFormat="1" ht="12.75">
      <c r="A436" s="3" t="s">
        <v>270</v>
      </c>
      <c r="B436" s="109">
        <v>17</v>
      </c>
      <c r="C436" s="109">
        <v>-4</v>
      </c>
      <c r="D436" s="109">
        <v>0.53999997</v>
      </c>
      <c r="E436" s="109">
        <v>-14.06</v>
      </c>
      <c r="F436" s="109">
        <v>-52</v>
      </c>
      <c r="G436" s="109">
        <v>54</v>
      </c>
      <c r="H436" s="109">
        <v>-67</v>
      </c>
      <c r="I436" s="109">
        <v>-51</v>
      </c>
      <c r="J436" s="109">
        <v>-26.230002</v>
      </c>
      <c r="K436" s="109">
        <v>-71</v>
      </c>
      <c r="L436" s="109">
        <v>-75.99</v>
      </c>
      <c r="M436" s="109">
        <v>-183.01</v>
      </c>
      <c r="N436" s="109">
        <v>-256.90836</v>
      </c>
      <c r="O436" s="109">
        <v>237.17049</v>
      </c>
      <c r="P436" s="109">
        <v>-582.67863</v>
      </c>
      <c r="Q436" s="109">
        <v>-45.08697</v>
      </c>
      <c r="R436" s="109">
        <v>-691.44085</v>
      </c>
      <c r="S436" s="109">
        <v>-290.37231</v>
      </c>
      <c r="T436" s="109">
        <v>-360.35925</v>
      </c>
      <c r="U436" s="109">
        <v>-654.00549</v>
      </c>
      <c r="V436" s="109">
        <v>-876.19716</v>
      </c>
      <c r="W436" s="109">
        <v>829.44138</v>
      </c>
      <c r="X436" s="109">
        <v>1635.158</v>
      </c>
      <c r="Y436" s="109">
        <v>1000.5812</v>
      </c>
      <c r="Z436" s="109">
        <v>867.0012</v>
      </c>
      <c r="AA436" s="109">
        <v>-903.57172</v>
      </c>
      <c r="AB436" s="109">
        <v>486.50052</v>
      </c>
      <c r="AC436" s="109">
        <v>814.34638</v>
      </c>
      <c r="AD436" s="109">
        <v>155.00695</v>
      </c>
      <c r="AE436" s="109">
        <v>421.21234</v>
      </c>
      <c r="AF436" s="109">
        <v>-682.02674</v>
      </c>
      <c r="AG436" s="109">
        <v>-980.76561</v>
      </c>
      <c r="AH436" s="109">
        <v>281.51662</v>
      </c>
      <c r="AI436" s="109" t="e">
        <v>#N/A</v>
      </c>
      <c r="AJ436" s="109" t="e">
        <v>#N/A</v>
      </c>
      <c r="AK436" s="109" t="e">
        <v>#N/A</v>
      </c>
      <c r="AL436" s="109" t="e">
        <v>#N/A</v>
      </c>
      <c r="AM436" s="108"/>
      <c r="AN436" s="108"/>
      <c r="AO436" s="108"/>
      <c r="AP436" s="108"/>
      <c r="AQ436" s="108"/>
      <c r="AR436" s="108"/>
      <c r="AS436" s="108"/>
      <c r="AT436" s="108"/>
      <c r="AU436" s="108"/>
    </row>
    <row r="437" spans="1:47" s="2" customFormat="1" ht="12.75">
      <c r="A437" s="3" t="s">
        <v>271</v>
      </c>
      <c r="B437" s="109" t="e">
        <v>#N/A</v>
      </c>
      <c r="C437" s="109" t="e">
        <v>#N/A</v>
      </c>
      <c r="D437" s="109">
        <v>409</v>
      </c>
      <c r="E437" s="109">
        <v>232</v>
      </c>
      <c r="F437" s="109">
        <v>99</v>
      </c>
      <c r="G437" s="109">
        <v>116</v>
      </c>
      <c r="H437" s="109">
        <v>310</v>
      </c>
      <c r="I437" s="109">
        <v>205</v>
      </c>
      <c r="J437" s="109">
        <v>152</v>
      </c>
      <c r="K437" s="109">
        <v>347</v>
      </c>
      <c r="L437" s="109">
        <v>543</v>
      </c>
      <c r="M437" s="109">
        <v>428</v>
      </c>
      <c r="N437" s="109">
        <v>697.0711</v>
      </c>
      <c r="O437" s="109">
        <v>543.94071</v>
      </c>
      <c r="P437" s="109">
        <v>-102.52318</v>
      </c>
      <c r="Q437" s="109">
        <v>-5389.0298</v>
      </c>
      <c r="R437" s="109">
        <v>-4089.2572</v>
      </c>
      <c r="S437" s="109">
        <v>-4957</v>
      </c>
      <c r="T437" s="109">
        <v>-366</v>
      </c>
      <c r="U437" s="109">
        <v>-165</v>
      </c>
      <c r="V437" s="109">
        <v>-8023</v>
      </c>
      <c r="W437" s="109">
        <v>-8238</v>
      </c>
      <c r="X437" s="109">
        <v>1441</v>
      </c>
      <c r="Y437" s="109">
        <v>-1847</v>
      </c>
      <c r="Z437" s="109">
        <v>-2474</v>
      </c>
      <c r="AA437" s="109">
        <v>-2818</v>
      </c>
      <c r="AB437" s="109">
        <v>544</v>
      </c>
      <c r="AC437" s="109">
        <v>3127</v>
      </c>
      <c r="AD437" s="109">
        <v>1711</v>
      </c>
      <c r="AE437" s="109">
        <v>435</v>
      </c>
      <c r="AF437" s="109">
        <v>3207</v>
      </c>
      <c r="AG437" s="109">
        <v>354</v>
      </c>
      <c r="AH437" s="109">
        <v>5530</v>
      </c>
      <c r="AI437" s="109" t="e">
        <v>#N/A</v>
      </c>
      <c r="AJ437" s="109" t="e">
        <v>#N/A</v>
      </c>
      <c r="AK437" s="109" t="e">
        <v>#N/A</v>
      </c>
      <c r="AL437" s="109" t="e">
        <v>#N/A</v>
      </c>
      <c r="AM437" s="108"/>
      <c r="AN437" s="108"/>
      <c r="AO437" s="108"/>
      <c r="AP437" s="108"/>
      <c r="AQ437" s="108"/>
      <c r="AR437" s="108"/>
      <c r="AS437" s="108"/>
      <c r="AT437" s="108"/>
      <c r="AU437" s="108"/>
    </row>
    <row r="438" spans="1:47" s="2" customFormat="1" ht="12.75">
      <c r="A438" s="3" t="s">
        <v>272</v>
      </c>
      <c r="B438" s="109" t="e">
        <v>#N/A</v>
      </c>
      <c r="C438" s="109" t="e">
        <v>#N/A</v>
      </c>
      <c r="D438" s="109">
        <v>413</v>
      </c>
      <c r="E438" s="109">
        <v>216</v>
      </c>
      <c r="F438" s="109">
        <v>92</v>
      </c>
      <c r="G438" s="109">
        <v>104</v>
      </c>
      <c r="H438" s="109">
        <v>322</v>
      </c>
      <c r="I438" s="109">
        <v>144</v>
      </c>
      <c r="J438" s="109">
        <v>132</v>
      </c>
      <c r="K438" s="109">
        <v>351</v>
      </c>
      <c r="L438" s="109">
        <v>511</v>
      </c>
      <c r="M438" s="109">
        <v>430</v>
      </c>
      <c r="N438" s="109">
        <v>651.937</v>
      </c>
      <c r="O438" s="109">
        <v>482.05524</v>
      </c>
      <c r="P438" s="109">
        <v>681.89836</v>
      </c>
      <c r="Q438" s="109">
        <v>-2132.2807</v>
      </c>
      <c r="R438" s="109">
        <v>-2872.6789</v>
      </c>
      <c r="S438" s="109">
        <v>-1367</v>
      </c>
      <c r="T438" s="109">
        <v>676</v>
      </c>
      <c r="U438" s="109">
        <v>261</v>
      </c>
      <c r="V438" s="109">
        <v>140</v>
      </c>
      <c r="W438" s="109">
        <v>-5034</v>
      </c>
      <c r="X438" s="109">
        <v>-80</v>
      </c>
      <c r="Y438" s="109">
        <v>-2335</v>
      </c>
      <c r="Z438" s="109">
        <v>601</v>
      </c>
      <c r="AA438" s="109">
        <v>-1911</v>
      </c>
      <c r="AB438" s="109">
        <v>-1115</v>
      </c>
      <c r="AC438" s="109">
        <v>1916</v>
      </c>
      <c r="AD438" s="109">
        <v>565</v>
      </c>
      <c r="AE438" s="109">
        <v>139</v>
      </c>
      <c r="AF438" s="109">
        <v>1539</v>
      </c>
      <c r="AG438" s="109">
        <v>436</v>
      </c>
      <c r="AH438" s="109">
        <v>645</v>
      </c>
      <c r="AI438" s="109" t="e">
        <v>#N/A</v>
      </c>
      <c r="AJ438" s="109" t="e">
        <v>#N/A</v>
      </c>
      <c r="AK438" s="109" t="e">
        <v>#N/A</v>
      </c>
      <c r="AL438" s="109" t="e">
        <v>#N/A</v>
      </c>
      <c r="AM438" s="108"/>
      <c r="AN438" s="108"/>
      <c r="AO438" s="108"/>
      <c r="AP438" s="108"/>
      <c r="AQ438" s="108"/>
      <c r="AR438" s="108"/>
      <c r="AS438" s="108"/>
      <c r="AT438" s="108"/>
      <c r="AU438" s="108"/>
    </row>
    <row r="439" spans="1:47" s="2" customFormat="1" ht="12.75">
      <c r="A439" s="3" t="s">
        <v>273</v>
      </c>
      <c r="B439" s="109" t="e">
        <v>#N/A</v>
      </c>
      <c r="C439" s="109" t="e">
        <v>#N/A</v>
      </c>
      <c r="D439" s="109">
        <v>5</v>
      </c>
      <c r="E439" s="109">
        <v>15</v>
      </c>
      <c r="F439" s="109">
        <v>7</v>
      </c>
      <c r="G439" s="109">
        <v>11</v>
      </c>
      <c r="H439" s="109">
        <v>-17</v>
      </c>
      <c r="I439" s="109">
        <v>10</v>
      </c>
      <c r="J439" s="109">
        <v>8</v>
      </c>
      <c r="K439" s="109">
        <v>-17</v>
      </c>
      <c r="L439" s="109">
        <v>16</v>
      </c>
      <c r="M439" s="109">
        <v>-16</v>
      </c>
      <c r="N439" s="109">
        <v>12.03576</v>
      </c>
      <c r="O439" s="109">
        <v>64.05689</v>
      </c>
      <c r="P439" s="109">
        <v>-25.03473</v>
      </c>
      <c r="Q439" s="109">
        <v>44.49768</v>
      </c>
      <c r="R439" s="109">
        <v>-115.34425</v>
      </c>
      <c r="S439" s="109">
        <v>941</v>
      </c>
      <c r="T439" s="109">
        <v>473</v>
      </c>
      <c r="U439" s="109">
        <v>288</v>
      </c>
      <c r="V439" s="109">
        <v>-2176</v>
      </c>
      <c r="W439" s="109">
        <v>-1027</v>
      </c>
      <c r="X439" s="109">
        <v>446</v>
      </c>
      <c r="Y439" s="109">
        <v>-255</v>
      </c>
      <c r="Z439" s="109">
        <v>-483</v>
      </c>
      <c r="AA439" s="109">
        <v>-504</v>
      </c>
      <c r="AB439" s="109">
        <v>-351</v>
      </c>
      <c r="AC439" s="109">
        <v>291</v>
      </c>
      <c r="AD439" s="109">
        <v>546</v>
      </c>
      <c r="AE439" s="109">
        <v>-161</v>
      </c>
      <c r="AF439" s="109">
        <v>-216</v>
      </c>
      <c r="AG439" s="109">
        <v>-551</v>
      </c>
      <c r="AH439" s="109">
        <v>611</v>
      </c>
      <c r="AI439" s="109" t="e">
        <v>#N/A</v>
      </c>
      <c r="AJ439" s="109" t="e">
        <v>#N/A</v>
      </c>
      <c r="AK439" s="109" t="e">
        <v>#N/A</v>
      </c>
      <c r="AL439" s="109" t="e">
        <v>#N/A</v>
      </c>
      <c r="AM439" s="108"/>
      <c r="AN439" s="108"/>
      <c r="AO439" s="108"/>
      <c r="AP439" s="108"/>
      <c r="AQ439" s="108"/>
      <c r="AR439" s="108"/>
      <c r="AS439" s="108"/>
      <c r="AT439" s="108"/>
      <c r="AU439" s="108"/>
    </row>
    <row r="440" spans="1:47" s="2" customFormat="1" ht="12.75">
      <c r="A440" s="3" t="s">
        <v>274</v>
      </c>
      <c r="B440" s="109" t="e">
        <v>#N/A</v>
      </c>
      <c r="C440" s="109" t="e">
        <v>#N/A</v>
      </c>
      <c r="D440" s="109">
        <v>-9</v>
      </c>
      <c r="E440" s="109">
        <v>1</v>
      </c>
      <c r="F440" s="109">
        <v>0</v>
      </c>
      <c r="G440" s="109">
        <v>1</v>
      </c>
      <c r="H440" s="109">
        <v>5</v>
      </c>
      <c r="I440" s="109">
        <v>51</v>
      </c>
      <c r="J440" s="109">
        <v>12</v>
      </c>
      <c r="K440" s="109">
        <v>13</v>
      </c>
      <c r="L440" s="109">
        <v>16</v>
      </c>
      <c r="M440" s="109">
        <v>14</v>
      </c>
      <c r="N440" s="109">
        <v>33.09834</v>
      </c>
      <c r="O440" s="109">
        <v>-2.17142</v>
      </c>
      <c r="P440" s="109">
        <v>-759.38681</v>
      </c>
      <c r="Q440" s="109">
        <v>-3301.2468</v>
      </c>
      <c r="R440" s="109">
        <v>-1101.234</v>
      </c>
      <c r="S440" s="109">
        <v>-4531</v>
      </c>
      <c r="T440" s="109">
        <v>-1515</v>
      </c>
      <c r="U440" s="109">
        <v>-714</v>
      </c>
      <c r="V440" s="109">
        <v>-5987</v>
      </c>
      <c r="W440" s="109">
        <v>-2177</v>
      </c>
      <c r="X440" s="109">
        <v>1075</v>
      </c>
      <c r="Y440" s="109">
        <v>743</v>
      </c>
      <c r="Z440" s="109">
        <v>-2592</v>
      </c>
      <c r="AA440" s="109">
        <v>-403</v>
      </c>
      <c r="AB440" s="109">
        <v>2010</v>
      </c>
      <c r="AC440" s="109">
        <v>920</v>
      </c>
      <c r="AD440" s="109">
        <v>600</v>
      </c>
      <c r="AE440" s="109">
        <v>457</v>
      </c>
      <c r="AF440" s="109">
        <v>1884</v>
      </c>
      <c r="AG440" s="109">
        <v>469</v>
      </c>
      <c r="AH440" s="109">
        <v>4274</v>
      </c>
      <c r="AI440" s="109" t="e">
        <v>#N/A</v>
      </c>
      <c r="AJ440" s="109" t="e">
        <v>#N/A</v>
      </c>
      <c r="AK440" s="109" t="e">
        <v>#N/A</v>
      </c>
      <c r="AL440" s="109" t="e">
        <v>#N/A</v>
      </c>
      <c r="AM440" s="108"/>
      <c r="AN440" s="108"/>
      <c r="AO440" s="108"/>
      <c r="AP440" s="108"/>
      <c r="AQ440" s="108"/>
      <c r="AR440" s="108"/>
      <c r="AS440" s="108"/>
      <c r="AT440" s="108"/>
      <c r="AU440" s="108"/>
    </row>
    <row r="441" spans="1:47" s="2" customFormat="1" ht="12.75">
      <c r="A441" s="3" t="s">
        <v>275</v>
      </c>
      <c r="B441" s="109" t="e">
        <v>#N/A</v>
      </c>
      <c r="C441" s="109" t="e">
        <v>#N/A</v>
      </c>
      <c r="D441" s="109">
        <v>50.54</v>
      </c>
      <c r="E441" s="109">
        <v>56.94</v>
      </c>
      <c r="F441" s="109">
        <v>23</v>
      </c>
      <c r="G441" s="109">
        <v>54</v>
      </c>
      <c r="H441" s="109">
        <v>61</v>
      </c>
      <c r="I441" s="109">
        <v>19</v>
      </c>
      <c r="J441" s="109">
        <v>33.77</v>
      </c>
      <c r="K441" s="109">
        <v>-62</v>
      </c>
      <c r="L441" s="109">
        <v>22.01</v>
      </c>
      <c r="M441" s="109">
        <v>-237.01</v>
      </c>
      <c r="N441" s="109">
        <v>387.0048</v>
      </c>
      <c r="O441" s="109">
        <v>484.71237</v>
      </c>
      <c r="P441" s="109">
        <v>30.076192</v>
      </c>
      <c r="Q441" s="109">
        <v>7156.3213</v>
      </c>
      <c r="R441" s="109">
        <v>67.402899</v>
      </c>
      <c r="S441" s="109">
        <v>2412.6277</v>
      </c>
      <c r="T441" s="109">
        <v>2089.6407</v>
      </c>
      <c r="U441" s="109">
        <v>-715.00549</v>
      </c>
      <c r="V441" s="109">
        <v>3068.8028</v>
      </c>
      <c r="W441" s="109">
        <v>-9846.5586</v>
      </c>
      <c r="X441" s="109">
        <v>-369.84195</v>
      </c>
      <c r="Y441" s="109">
        <v>4886.5812</v>
      </c>
      <c r="Z441" s="109">
        <v>-1248.9988</v>
      </c>
      <c r="AA441" s="109">
        <v>-4135.5717</v>
      </c>
      <c r="AB441" s="109">
        <v>554.50052</v>
      </c>
      <c r="AC441" s="109">
        <v>-1213.6536</v>
      </c>
      <c r="AD441" s="109">
        <v>-223.99305</v>
      </c>
      <c r="AE441" s="109">
        <v>-1011.7877</v>
      </c>
      <c r="AF441" s="109">
        <v>2333.9733</v>
      </c>
      <c r="AG441" s="109">
        <v>-299.76561</v>
      </c>
      <c r="AH441" s="109">
        <v>-2097.4834</v>
      </c>
      <c r="AI441" s="109" t="e">
        <v>#N/A</v>
      </c>
      <c r="AJ441" s="109" t="e">
        <v>#N/A</v>
      </c>
      <c r="AK441" s="109" t="e">
        <v>#N/A</v>
      </c>
      <c r="AL441" s="109" t="e">
        <v>#N/A</v>
      </c>
      <c r="AM441" s="108"/>
      <c r="AN441" s="108"/>
      <c r="AO441" s="108"/>
      <c r="AP441" s="108"/>
      <c r="AQ441" s="108"/>
      <c r="AR441" s="108"/>
      <c r="AS441" s="108"/>
      <c r="AT441" s="108"/>
      <c r="AU441" s="108"/>
    </row>
    <row r="442" spans="1:47" s="2" customFormat="1" ht="12.75">
      <c r="A442" s="3" t="s">
        <v>276</v>
      </c>
      <c r="B442" s="109">
        <v>-8.11</v>
      </c>
      <c r="C442" s="109">
        <v>32.48</v>
      </c>
      <c r="D442" s="109">
        <v>-50.54</v>
      </c>
      <c r="E442" s="109">
        <v>-56.94</v>
      </c>
      <c r="F442" s="109">
        <v>-23</v>
      </c>
      <c r="G442" s="109">
        <v>-54</v>
      </c>
      <c r="H442" s="109">
        <v>-61</v>
      </c>
      <c r="I442" s="109">
        <v>-19</v>
      </c>
      <c r="J442" s="109">
        <v>-33.77</v>
      </c>
      <c r="K442" s="109">
        <v>62</v>
      </c>
      <c r="L442" s="109">
        <v>-22.01</v>
      </c>
      <c r="M442" s="109">
        <v>237.01</v>
      </c>
      <c r="N442" s="109">
        <v>-387.0048</v>
      </c>
      <c r="O442" s="109">
        <v>-484.71237</v>
      </c>
      <c r="P442" s="109">
        <v>-30.076192</v>
      </c>
      <c r="Q442" s="109">
        <v>-7156.3213</v>
      </c>
      <c r="R442" s="109">
        <v>-67.402899</v>
      </c>
      <c r="S442" s="109">
        <v>-2412.6277</v>
      </c>
      <c r="T442" s="109">
        <v>-2089.6407</v>
      </c>
      <c r="U442" s="109">
        <v>715.00549</v>
      </c>
      <c r="V442" s="109">
        <v>-3068.8028</v>
      </c>
      <c r="W442" s="109">
        <v>9846.5586</v>
      </c>
      <c r="X442" s="109">
        <v>369.84195</v>
      </c>
      <c r="Y442" s="109">
        <v>-4886.5812</v>
      </c>
      <c r="Z442" s="109">
        <v>1248.9988</v>
      </c>
      <c r="AA442" s="109">
        <v>4135.5717</v>
      </c>
      <c r="AB442" s="109">
        <v>-554.50052</v>
      </c>
      <c r="AC442" s="109">
        <v>1213.6536</v>
      </c>
      <c r="AD442" s="109">
        <v>223.99305</v>
      </c>
      <c r="AE442" s="109">
        <v>1011.7877</v>
      </c>
      <c r="AF442" s="109">
        <v>-2333.9733</v>
      </c>
      <c r="AG442" s="109">
        <v>299.76561</v>
      </c>
      <c r="AH442" s="109">
        <v>2097.4834</v>
      </c>
      <c r="AI442" s="109" t="e">
        <v>#N/A</v>
      </c>
      <c r="AJ442" s="109" t="e">
        <v>#N/A</v>
      </c>
      <c r="AK442" s="109" t="e">
        <v>#N/A</v>
      </c>
      <c r="AL442" s="109" t="e">
        <v>#N/A</v>
      </c>
      <c r="AM442" s="108"/>
      <c r="AN442" s="108"/>
      <c r="AO442" s="108"/>
      <c r="AP442" s="108"/>
      <c r="AQ442" s="108"/>
      <c r="AR442" s="108"/>
      <c r="AS442" s="108"/>
      <c r="AT442" s="108"/>
      <c r="AU442" s="108"/>
    </row>
    <row r="443" spans="1:47" s="2" customFormat="1" ht="12.75">
      <c r="A443" s="3" t="s">
        <v>277</v>
      </c>
      <c r="B443" s="109">
        <v>0</v>
      </c>
      <c r="C443" s="109">
        <v>0</v>
      </c>
      <c r="D443" s="109">
        <v>0</v>
      </c>
      <c r="E443" s="109">
        <v>0</v>
      </c>
      <c r="F443" s="109">
        <v>0</v>
      </c>
      <c r="G443" s="109">
        <v>0</v>
      </c>
      <c r="H443" s="109">
        <v>0</v>
      </c>
      <c r="I443" s="109">
        <v>0</v>
      </c>
      <c r="J443" s="109">
        <v>0</v>
      </c>
      <c r="K443" s="109">
        <v>0</v>
      </c>
      <c r="L443" s="109">
        <v>0</v>
      </c>
      <c r="M443" s="109">
        <v>0</v>
      </c>
      <c r="N443" s="109">
        <v>0</v>
      </c>
      <c r="O443" s="109">
        <v>0</v>
      </c>
      <c r="P443" s="109">
        <v>0</v>
      </c>
      <c r="Q443" s="109">
        <v>0</v>
      </c>
      <c r="R443" s="109">
        <v>0</v>
      </c>
      <c r="S443" s="109">
        <v>0</v>
      </c>
      <c r="T443" s="109">
        <v>0</v>
      </c>
      <c r="U443" s="109">
        <v>0</v>
      </c>
      <c r="V443" s="109">
        <v>0</v>
      </c>
      <c r="W443" s="109">
        <v>0</v>
      </c>
      <c r="X443" s="109">
        <v>0</v>
      </c>
      <c r="Y443" s="109">
        <v>0</v>
      </c>
      <c r="Z443" s="109">
        <v>0</v>
      </c>
      <c r="AA443" s="109">
        <v>0</v>
      </c>
      <c r="AB443" s="109">
        <v>0</v>
      </c>
      <c r="AC443" s="109">
        <v>0</v>
      </c>
      <c r="AD443" s="109">
        <v>0</v>
      </c>
      <c r="AE443" s="109">
        <v>0</v>
      </c>
      <c r="AF443" s="109">
        <v>0</v>
      </c>
      <c r="AG443" s="109">
        <v>0</v>
      </c>
      <c r="AH443" s="109">
        <v>0</v>
      </c>
      <c r="AI443" s="109" t="e">
        <v>#N/A</v>
      </c>
      <c r="AJ443" s="109" t="e">
        <v>#N/A</v>
      </c>
      <c r="AK443" s="109" t="e">
        <v>#N/A</v>
      </c>
      <c r="AL443" s="109" t="e">
        <v>#N/A</v>
      </c>
      <c r="AM443" s="108"/>
      <c r="AN443" s="108"/>
      <c r="AO443" s="108"/>
      <c r="AP443" s="108"/>
      <c r="AQ443" s="108"/>
      <c r="AR443" s="108"/>
      <c r="AS443" s="108"/>
      <c r="AT443" s="108"/>
      <c r="AU443" s="108"/>
    </row>
    <row r="444" spans="1:47" s="2" customFormat="1" ht="12.75">
      <c r="A444" s="3" t="s">
        <v>278</v>
      </c>
      <c r="B444" s="109">
        <v>0</v>
      </c>
      <c r="C444" s="109">
        <v>0</v>
      </c>
      <c r="D444" s="109">
        <v>0</v>
      </c>
      <c r="E444" s="109">
        <v>0</v>
      </c>
      <c r="F444" s="109">
        <v>0</v>
      </c>
      <c r="G444" s="109">
        <v>0</v>
      </c>
      <c r="H444" s="109">
        <v>0</v>
      </c>
      <c r="I444" s="109">
        <v>0</v>
      </c>
      <c r="J444" s="109">
        <v>0</v>
      </c>
      <c r="K444" s="109">
        <v>66</v>
      </c>
      <c r="L444" s="109">
        <v>-5</v>
      </c>
      <c r="M444" s="109">
        <v>99</v>
      </c>
      <c r="N444" s="109">
        <v>16</v>
      </c>
      <c r="O444" s="109">
        <v>-197</v>
      </c>
      <c r="P444" s="109">
        <v>0</v>
      </c>
      <c r="Q444" s="109">
        <v>0</v>
      </c>
      <c r="R444" s="109">
        <v>0</v>
      </c>
      <c r="S444" s="109">
        <v>0</v>
      </c>
      <c r="T444" s="109">
        <v>0</v>
      </c>
      <c r="U444" s="109">
        <v>0</v>
      </c>
      <c r="V444" s="109">
        <v>0</v>
      </c>
      <c r="W444" s="109">
        <v>0</v>
      </c>
      <c r="X444" s="109">
        <v>0</v>
      </c>
      <c r="Y444" s="109">
        <v>0</v>
      </c>
      <c r="Z444" s="109">
        <v>0</v>
      </c>
      <c r="AA444" s="109">
        <v>0</v>
      </c>
      <c r="AB444" s="109">
        <v>0</v>
      </c>
      <c r="AC444" s="109">
        <v>0</v>
      </c>
      <c r="AD444" s="109">
        <v>0</v>
      </c>
      <c r="AE444" s="109">
        <v>0</v>
      </c>
      <c r="AF444" s="109">
        <v>0</v>
      </c>
      <c r="AG444" s="109">
        <v>0</v>
      </c>
      <c r="AH444" s="109">
        <v>0</v>
      </c>
      <c r="AI444" s="109" t="e">
        <v>#N/A</v>
      </c>
      <c r="AJ444" s="109" t="e">
        <v>#N/A</v>
      </c>
      <c r="AK444" s="109" t="e">
        <v>#N/A</v>
      </c>
      <c r="AL444" s="109" t="e">
        <v>#N/A</v>
      </c>
      <c r="AM444" s="108"/>
      <c r="AN444" s="108"/>
      <c r="AO444" s="108"/>
      <c r="AP444" s="108"/>
      <c r="AQ444" s="108"/>
      <c r="AR444" s="108"/>
      <c r="AS444" s="108"/>
      <c r="AT444" s="108"/>
      <c r="AU444" s="108"/>
    </row>
    <row r="445" spans="1:47" s="2" customFormat="1" ht="12.75">
      <c r="A445" s="3" t="s">
        <v>279</v>
      </c>
      <c r="B445" s="109">
        <v>0</v>
      </c>
      <c r="C445" s="109">
        <v>0</v>
      </c>
      <c r="D445" s="109">
        <v>-21</v>
      </c>
      <c r="E445" s="109">
        <v>-54</v>
      </c>
      <c r="F445" s="109">
        <v>-23</v>
      </c>
      <c r="G445" s="109">
        <v>-54</v>
      </c>
      <c r="H445" s="109">
        <v>-61</v>
      </c>
      <c r="I445" s="109">
        <v>-19</v>
      </c>
      <c r="J445" s="109">
        <v>-33.77</v>
      </c>
      <c r="K445" s="109">
        <v>-4</v>
      </c>
      <c r="L445" s="109">
        <v>-17.01</v>
      </c>
      <c r="M445" s="109">
        <v>138.01</v>
      </c>
      <c r="N445" s="109">
        <v>-403.0048</v>
      </c>
      <c r="O445" s="109">
        <v>-287.71237</v>
      </c>
      <c r="P445" s="109">
        <v>-30.076192</v>
      </c>
      <c r="Q445" s="109">
        <v>-7156.3213</v>
      </c>
      <c r="R445" s="109">
        <v>-67.402899</v>
      </c>
      <c r="S445" s="109">
        <v>-2412.6277</v>
      </c>
      <c r="T445" s="109">
        <v>-2089.6407</v>
      </c>
      <c r="U445" s="109">
        <v>715.00549</v>
      </c>
      <c r="V445" s="109">
        <v>-3068.8028</v>
      </c>
      <c r="W445" s="109">
        <v>9846.5586</v>
      </c>
      <c r="X445" s="109">
        <v>369.84195</v>
      </c>
      <c r="Y445" s="109">
        <v>-4886.5812</v>
      </c>
      <c r="Z445" s="109">
        <v>1248.9988</v>
      </c>
      <c r="AA445" s="109">
        <v>4135.5717</v>
      </c>
      <c r="AB445" s="109">
        <v>-554.50052</v>
      </c>
      <c r="AC445" s="109">
        <v>1213.6536</v>
      </c>
      <c r="AD445" s="109">
        <v>223.99305</v>
      </c>
      <c r="AE445" s="109">
        <v>1011.7877</v>
      </c>
      <c r="AF445" s="109">
        <v>-2333.9733</v>
      </c>
      <c r="AG445" s="109">
        <v>299.76561</v>
      </c>
      <c r="AH445" s="109">
        <v>2097.4834</v>
      </c>
      <c r="AI445" s="109" t="e">
        <v>#N/A</v>
      </c>
      <c r="AJ445" s="109" t="e">
        <v>#N/A</v>
      </c>
      <c r="AK445" s="109" t="e">
        <v>#N/A</v>
      </c>
      <c r="AL445" s="109" t="e">
        <v>#N/A</v>
      </c>
      <c r="AM445" s="108"/>
      <c r="AN445" s="108"/>
      <c r="AO445" s="108"/>
      <c r="AP445" s="108"/>
      <c r="AQ445" s="108"/>
      <c r="AR445" s="108"/>
      <c r="AS445" s="108"/>
      <c r="AT445" s="108"/>
      <c r="AU445" s="108"/>
    </row>
    <row r="446" spans="1:47" s="2" customFormat="1" ht="12.75">
      <c r="A446" s="3" t="s">
        <v>280</v>
      </c>
      <c r="B446" s="109">
        <v>-8.11</v>
      </c>
      <c r="C446" s="109">
        <v>32.48</v>
      </c>
      <c r="D446" s="109">
        <v>-29.54</v>
      </c>
      <c r="E446" s="109">
        <v>-2.94</v>
      </c>
      <c r="F446" s="109">
        <v>0</v>
      </c>
      <c r="G446" s="109">
        <v>0</v>
      </c>
      <c r="H446" s="109">
        <v>0</v>
      </c>
      <c r="I446" s="109">
        <v>0</v>
      </c>
      <c r="J446" s="109">
        <v>0</v>
      </c>
      <c r="K446" s="109">
        <v>0</v>
      </c>
      <c r="L446" s="109">
        <v>0</v>
      </c>
      <c r="M446" s="109">
        <v>0</v>
      </c>
      <c r="N446" s="109">
        <v>0</v>
      </c>
      <c r="O446" s="109">
        <v>0</v>
      </c>
      <c r="P446" s="109">
        <v>0</v>
      </c>
      <c r="Q446" s="109">
        <v>0</v>
      </c>
      <c r="R446" s="109">
        <v>0</v>
      </c>
      <c r="S446" s="109">
        <v>0</v>
      </c>
      <c r="T446" s="109">
        <v>0</v>
      </c>
      <c r="U446" s="109">
        <v>0</v>
      </c>
      <c r="V446" s="109">
        <v>0</v>
      </c>
      <c r="W446" s="109">
        <v>0</v>
      </c>
      <c r="X446" s="109">
        <v>0</v>
      </c>
      <c r="Y446" s="109">
        <v>0</v>
      </c>
      <c r="Z446" s="109">
        <v>0</v>
      </c>
      <c r="AA446" s="109">
        <v>0</v>
      </c>
      <c r="AB446" s="109">
        <v>0</v>
      </c>
      <c r="AC446" s="109">
        <v>0</v>
      </c>
      <c r="AD446" s="109">
        <v>0</v>
      </c>
      <c r="AE446" s="109">
        <v>0</v>
      </c>
      <c r="AF446" s="109">
        <v>0</v>
      </c>
      <c r="AG446" s="109">
        <v>0</v>
      </c>
      <c r="AH446" s="109">
        <v>0</v>
      </c>
      <c r="AI446" s="109">
        <v>0</v>
      </c>
      <c r="AJ446" s="109">
        <v>0</v>
      </c>
      <c r="AK446" s="109" t="e">
        <v>#N/A</v>
      </c>
      <c r="AL446" s="109" t="e">
        <v>#N/A</v>
      </c>
      <c r="AM446" s="108"/>
      <c r="AN446" s="108"/>
      <c r="AO446" s="108"/>
      <c r="AP446" s="108"/>
      <c r="AQ446" s="108"/>
      <c r="AR446" s="108"/>
      <c r="AS446" s="108"/>
      <c r="AT446" s="108"/>
      <c r="AU446" s="108"/>
    </row>
    <row r="447" spans="1:47" s="2" customFormat="1" ht="12.75">
      <c r="A447" s="3" t="s">
        <v>281</v>
      </c>
      <c r="B447" s="109" t="e">
        <v>#N/A</v>
      </c>
      <c r="C447" s="109" t="e">
        <v>#N/A</v>
      </c>
      <c r="D447" s="109">
        <v>-17</v>
      </c>
      <c r="E447" s="109">
        <v>-59</v>
      </c>
      <c r="F447" s="109">
        <v>-29</v>
      </c>
      <c r="G447" s="109">
        <v>51</v>
      </c>
      <c r="H447" s="109">
        <v>-57</v>
      </c>
      <c r="I447" s="109">
        <v>-12</v>
      </c>
      <c r="J447" s="109">
        <v>-25</v>
      </c>
      <c r="K447" s="109">
        <v>2</v>
      </c>
      <c r="L447" s="109">
        <v>-40.01</v>
      </c>
      <c r="M447" s="109">
        <v>122.47</v>
      </c>
      <c r="N447" s="109">
        <v>-438.21014</v>
      </c>
      <c r="O447" s="109">
        <v>-343.6531</v>
      </c>
      <c r="P447" s="109">
        <v>-219.07619</v>
      </c>
      <c r="Q447" s="109">
        <v>-7287.4476</v>
      </c>
      <c r="R447" s="109">
        <v>-461.65433</v>
      </c>
      <c r="S447" s="109">
        <v>157.35109</v>
      </c>
      <c r="T447" s="109">
        <v>-3452.6327</v>
      </c>
      <c r="U447" s="109">
        <v>196.80775</v>
      </c>
      <c r="V447" s="109">
        <v>-3597.58</v>
      </c>
      <c r="W447" s="109">
        <v>4280.6677</v>
      </c>
      <c r="X447" s="109">
        <v>9238.1461</v>
      </c>
      <c r="Y447" s="109">
        <v>-3986.8689</v>
      </c>
      <c r="Z447" s="109">
        <v>1254.4427</v>
      </c>
      <c r="AA447" s="109">
        <v>4163.6191</v>
      </c>
      <c r="AB447" s="109">
        <v>-612.92013</v>
      </c>
      <c r="AC447" s="109">
        <v>1154.0245</v>
      </c>
      <c r="AD447" s="109">
        <v>182.06242</v>
      </c>
      <c r="AE447" s="109">
        <v>1032.9317</v>
      </c>
      <c r="AF447" s="109">
        <v>-2337.5239</v>
      </c>
      <c r="AG447" s="109">
        <v>286.13677</v>
      </c>
      <c r="AH447" s="109">
        <v>2088.1701</v>
      </c>
      <c r="AI447" s="109" t="e">
        <v>#N/A</v>
      </c>
      <c r="AJ447" s="109" t="e">
        <v>#N/A</v>
      </c>
      <c r="AK447" s="109" t="e">
        <v>#N/A</v>
      </c>
      <c r="AL447" s="109" t="e">
        <v>#N/A</v>
      </c>
      <c r="AM447" s="108"/>
      <c r="AN447" s="108"/>
      <c r="AO447" s="108"/>
      <c r="AP447" s="108"/>
      <c r="AQ447" s="108"/>
      <c r="AR447" s="108"/>
      <c r="AS447" s="108"/>
      <c r="AT447" s="108"/>
      <c r="AU447" s="108"/>
    </row>
    <row r="448" spans="1:47" s="2" customFormat="1" ht="12.75">
      <c r="A448" s="3" t="s">
        <v>282</v>
      </c>
      <c r="B448" s="109" t="e">
        <v>#N/A</v>
      </c>
      <c r="C448" s="109" t="e">
        <v>#N/A</v>
      </c>
      <c r="D448" s="109">
        <v>4</v>
      </c>
      <c r="E448" s="109">
        <v>-5</v>
      </c>
      <c r="F448" s="109">
        <v>-6</v>
      </c>
      <c r="G448" s="109">
        <v>-3</v>
      </c>
      <c r="H448" s="109">
        <v>4</v>
      </c>
      <c r="I448" s="109">
        <v>7</v>
      </c>
      <c r="J448" s="109">
        <v>9</v>
      </c>
      <c r="K448" s="109">
        <v>6</v>
      </c>
      <c r="L448" s="109">
        <v>-23</v>
      </c>
      <c r="M448" s="109">
        <v>-15.54</v>
      </c>
      <c r="N448" s="109">
        <v>-35.205336</v>
      </c>
      <c r="O448" s="109">
        <v>-55.940736</v>
      </c>
      <c r="P448" s="109">
        <v>-189</v>
      </c>
      <c r="Q448" s="109">
        <v>-131.1263</v>
      </c>
      <c r="R448" s="109">
        <v>-394.25143</v>
      </c>
      <c r="S448" s="109">
        <v>2569.9788</v>
      </c>
      <c r="T448" s="109">
        <v>-1362.992</v>
      </c>
      <c r="U448" s="109">
        <v>-518.19774</v>
      </c>
      <c r="V448" s="109">
        <v>-528.77719</v>
      </c>
      <c r="W448" s="109">
        <v>-5565.8909</v>
      </c>
      <c r="X448" s="109">
        <v>8868.3041</v>
      </c>
      <c r="Y448" s="109">
        <v>899.71232</v>
      </c>
      <c r="Z448" s="109">
        <v>5.443876599999999</v>
      </c>
      <c r="AA448" s="109">
        <v>28.047404</v>
      </c>
      <c r="AB448" s="109">
        <v>-58.419607</v>
      </c>
      <c r="AC448" s="109">
        <v>-59.629093</v>
      </c>
      <c r="AD448" s="109">
        <v>-41.930636</v>
      </c>
      <c r="AE448" s="109">
        <v>21.144026</v>
      </c>
      <c r="AF448" s="109">
        <v>-3.5506352999999997</v>
      </c>
      <c r="AG448" s="109">
        <v>-13.628838</v>
      </c>
      <c r="AH448" s="109">
        <v>-9.3133167</v>
      </c>
      <c r="AI448" s="109" t="e">
        <v>#N/A</v>
      </c>
      <c r="AJ448" s="109" t="e">
        <v>#N/A</v>
      </c>
      <c r="AK448" s="109" t="e">
        <v>#N/A</v>
      </c>
      <c r="AL448" s="109" t="e">
        <v>#N/A</v>
      </c>
      <c r="AM448" s="108"/>
      <c r="AN448" s="108"/>
      <c r="AO448" s="108"/>
      <c r="AP448" s="108"/>
      <c r="AQ448" s="108"/>
      <c r="AR448" s="108"/>
      <c r="AS448" s="108"/>
      <c r="AT448" s="108"/>
      <c r="AU448" s="108"/>
    </row>
    <row r="449" s="2" customFormat="1" ht="12.75">
      <c r="A449" s="3"/>
    </row>
    <row r="450" s="2" customFormat="1" ht="12.75">
      <c r="A450" s="4"/>
    </row>
    <row r="451" spans="1:47" s="2" customFormat="1" ht="12.75">
      <c r="A451" s="4"/>
      <c r="B451" s="75" t="e">
        <f>B428+B430</f>
        <v>#N/A</v>
      </c>
      <c r="C451" s="75" t="e">
        <f aca="true" t="shared" si="299" ref="C451:R451">C428+C430</f>
        <v>#N/A</v>
      </c>
      <c r="D451" s="75">
        <f t="shared" si="299"/>
        <v>109</v>
      </c>
      <c r="E451" s="75">
        <f t="shared" si="299"/>
        <v>88</v>
      </c>
      <c r="F451" s="75">
        <f t="shared" si="299"/>
        <v>109</v>
      </c>
      <c r="G451" s="75">
        <f t="shared" si="299"/>
        <v>121</v>
      </c>
      <c r="H451" s="75">
        <f t="shared" si="299"/>
        <v>118</v>
      </c>
      <c r="I451" s="75">
        <f t="shared" si="299"/>
        <v>128</v>
      </c>
      <c r="J451" s="75">
        <f t="shared" si="299"/>
        <v>130</v>
      </c>
      <c r="K451" s="75">
        <f t="shared" si="299"/>
        <v>162</v>
      </c>
      <c r="L451" s="75">
        <f t="shared" si="299"/>
        <v>203</v>
      </c>
      <c r="M451" s="75">
        <f t="shared" si="299"/>
        <v>196</v>
      </c>
      <c r="N451" s="75">
        <f t="shared" si="299"/>
        <v>232.69136</v>
      </c>
      <c r="O451" s="75">
        <f t="shared" si="299"/>
        <v>318.11303000000004</v>
      </c>
      <c r="P451" s="75">
        <f t="shared" si="299"/>
        <v>648.51872</v>
      </c>
      <c r="Q451" s="75">
        <f t="shared" si="299"/>
        <v>1354.17264</v>
      </c>
      <c r="R451" s="75">
        <f t="shared" si="299"/>
        <v>2472.0094</v>
      </c>
      <c r="S451" s="75">
        <f aca="true" t="shared" si="300" ref="S451:AH451">S428+S430</f>
        <v>3261</v>
      </c>
      <c r="T451" s="75">
        <f t="shared" si="300"/>
        <v>4468</v>
      </c>
      <c r="U451" s="75">
        <f t="shared" si="300"/>
        <v>4204</v>
      </c>
      <c r="V451" s="75">
        <f t="shared" si="300"/>
        <v>2820</v>
      </c>
      <c r="W451" s="75">
        <f t="shared" si="300"/>
        <v>1735</v>
      </c>
      <c r="X451" s="75">
        <f t="shared" si="300"/>
        <v>1451</v>
      </c>
      <c r="Y451" s="75">
        <f t="shared" si="300"/>
        <v>1121</v>
      </c>
      <c r="Z451" s="75">
        <f t="shared" si="300"/>
        <v>1335</v>
      </c>
      <c r="AA451" s="75">
        <f t="shared" si="300"/>
        <v>1069</v>
      </c>
      <c r="AB451" s="75">
        <f t="shared" si="300"/>
        <v>763</v>
      </c>
      <c r="AC451" s="75">
        <f t="shared" si="300"/>
        <v>607</v>
      </c>
      <c r="AD451" s="75">
        <f t="shared" si="300"/>
        <v>437</v>
      </c>
      <c r="AE451" s="75">
        <f t="shared" si="300"/>
        <v>467</v>
      </c>
      <c r="AF451" s="75">
        <f t="shared" si="300"/>
        <v>798</v>
      </c>
      <c r="AG451" s="75">
        <f t="shared" si="300"/>
        <v>892</v>
      </c>
      <c r="AH451" s="75">
        <f t="shared" si="300"/>
        <v>1684</v>
      </c>
      <c r="AI451" s="75" t="e">
        <f aca="true" t="shared" si="301" ref="AI451:AQ451">AI428+AI430</f>
        <v>#N/A</v>
      </c>
      <c r="AJ451" s="75" t="e">
        <f t="shared" si="301"/>
        <v>#N/A</v>
      </c>
      <c r="AK451" s="75" t="e">
        <f t="shared" si="301"/>
        <v>#N/A</v>
      </c>
      <c r="AL451" s="75" t="e">
        <f t="shared" si="301"/>
        <v>#N/A</v>
      </c>
      <c r="AM451" s="75">
        <f t="shared" si="301"/>
        <v>0</v>
      </c>
      <c r="AN451" s="75">
        <f t="shared" si="301"/>
        <v>0</v>
      </c>
      <c r="AO451" s="75">
        <f t="shared" si="301"/>
        <v>0</v>
      </c>
      <c r="AP451" s="75">
        <f t="shared" si="301"/>
        <v>0</v>
      </c>
      <c r="AQ451" s="75">
        <f t="shared" si="301"/>
        <v>0</v>
      </c>
      <c r="AR451" s="75">
        <f>AR428+AR430</f>
        <v>0</v>
      </c>
      <c r="AS451" s="75">
        <f>AS428+AS430</f>
        <v>0</v>
      </c>
      <c r="AT451" s="75">
        <f>AT428+AT430</f>
        <v>0</v>
      </c>
      <c r="AU451" s="75">
        <f>AU428+AU430</f>
        <v>0</v>
      </c>
    </row>
    <row r="452" spans="1:47" s="2" customFormat="1" ht="12.75">
      <c r="A452" s="4"/>
      <c r="B452" s="75" t="e">
        <f>-B429-B431</f>
        <v>#N/A</v>
      </c>
      <c r="C452" s="75" t="e">
        <f aca="true" t="shared" si="302" ref="C452:R452">-C429-C431</f>
        <v>#N/A</v>
      </c>
      <c r="D452" s="75">
        <f t="shared" si="302"/>
        <v>842</v>
      </c>
      <c r="E452" s="75">
        <f t="shared" si="302"/>
        <v>779</v>
      </c>
      <c r="F452" s="75">
        <f t="shared" si="302"/>
        <v>784</v>
      </c>
      <c r="G452" s="75">
        <f t="shared" si="302"/>
        <v>821</v>
      </c>
      <c r="H452" s="75">
        <f t="shared" si="302"/>
        <v>813</v>
      </c>
      <c r="I452" s="75">
        <f t="shared" si="302"/>
        <v>840</v>
      </c>
      <c r="J452" s="75">
        <f t="shared" si="302"/>
        <v>854</v>
      </c>
      <c r="K452" s="75">
        <f t="shared" si="302"/>
        <v>1088</v>
      </c>
      <c r="L452" s="75">
        <f t="shared" si="302"/>
        <v>1335</v>
      </c>
      <c r="M452" s="75">
        <f t="shared" si="302"/>
        <v>1466</v>
      </c>
      <c r="N452" s="75">
        <f t="shared" si="302"/>
        <v>2009.97192</v>
      </c>
      <c r="O452" s="75">
        <f t="shared" si="302"/>
        <v>2085.64891</v>
      </c>
      <c r="P452" s="75">
        <f t="shared" si="302"/>
        <v>2628.6466</v>
      </c>
      <c r="Q452" s="75">
        <f t="shared" si="302"/>
        <v>3153.3220600000004</v>
      </c>
      <c r="R452" s="75">
        <f t="shared" si="302"/>
        <v>5280.33835</v>
      </c>
      <c r="S452" s="75">
        <f aca="true" t="shared" si="303" ref="S452:AH452">-S429-S431</f>
        <v>6443</v>
      </c>
      <c r="T452" s="75">
        <f t="shared" si="303"/>
        <v>8885</v>
      </c>
      <c r="U452" s="75">
        <f t="shared" si="303"/>
        <v>9957</v>
      </c>
      <c r="V452" s="75">
        <f t="shared" si="303"/>
        <v>6487</v>
      </c>
      <c r="W452" s="75">
        <f t="shared" si="303"/>
        <v>5621</v>
      </c>
      <c r="X452" s="75">
        <f t="shared" si="303"/>
        <v>3590</v>
      </c>
      <c r="Y452" s="75">
        <f t="shared" si="303"/>
        <v>3288</v>
      </c>
      <c r="Z452" s="75">
        <f t="shared" si="303"/>
        <v>4457</v>
      </c>
      <c r="AA452" s="75">
        <f t="shared" si="303"/>
        <v>3841</v>
      </c>
      <c r="AB452" s="75">
        <f t="shared" si="303"/>
        <v>3408</v>
      </c>
      <c r="AC452" s="75">
        <f t="shared" si="303"/>
        <v>2348</v>
      </c>
      <c r="AD452" s="75">
        <f t="shared" si="303"/>
        <v>2438</v>
      </c>
      <c r="AE452" s="75">
        <f t="shared" si="303"/>
        <v>2436</v>
      </c>
      <c r="AF452" s="75">
        <f t="shared" si="303"/>
        <v>3122</v>
      </c>
      <c r="AG452" s="75">
        <f t="shared" si="303"/>
        <v>4040</v>
      </c>
      <c r="AH452" s="75">
        <f t="shared" si="303"/>
        <v>5533</v>
      </c>
      <c r="AI452" s="75" t="e">
        <f aca="true" t="shared" si="304" ref="AI452:AQ452">-AI429-AI431</f>
        <v>#N/A</v>
      </c>
      <c r="AJ452" s="75" t="e">
        <f t="shared" si="304"/>
        <v>#N/A</v>
      </c>
      <c r="AK452" s="75" t="e">
        <f t="shared" si="304"/>
        <v>#N/A</v>
      </c>
      <c r="AL452" s="75" t="e">
        <f t="shared" si="304"/>
        <v>#N/A</v>
      </c>
      <c r="AM452" s="75">
        <f t="shared" si="304"/>
        <v>0</v>
      </c>
      <c r="AN452" s="75">
        <f t="shared" si="304"/>
        <v>0</v>
      </c>
      <c r="AO452" s="75">
        <f t="shared" si="304"/>
        <v>0</v>
      </c>
      <c r="AP452" s="75">
        <f t="shared" si="304"/>
        <v>0</v>
      </c>
      <c r="AQ452" s="75">
        <f t="shared" si="304"/>
        <v>0</v>
      </c>
      <c r="AR452" s="75">
        <f>-AR429-AR431</f>
        <v>0</v>
      </c>
      <c r="AS452" s="75">
        <f>-AS429-AS431</f>
        <v>0</v>
      </c>
      <c r="AT452" s="75">
        <f>-AT429-AT431</f>
        <v>0</v>
      </c>
      <c r="AU452" s="75">
        <f>-AU429-AU431</f>
        <v>0</v>
      </c>
    </row>
    <row r="453" s="2" customFormat="1" ht="12.75">
      <c r="A453" s="4"/>
    </row>
    <row r="454" spans="1:47" s="2" customFormat="1" ht="12.75">
      <c r="A454" s="4"/>
      <c r="B454" s="2">
        <f aca="true" t="shared" si="305" ref="B454:AQ454">B101</f>
        <v>71.5</v>
      </c>
      <c r="C454" s="2">
        <f t="shared" si="305"/>
        <v>63.599999999999994</v>
      </c>
      <c r="D454" s="2">
        <f t="shared" si="305"/>
        <v>58.9</v>
      </c>
      <c r="E454" s="2">
        <f t="shared" si="305"/>
        <v>50.5</v>
      </c>
      <c r="F454" s="2">
        <f t="shared" si="305"/>
        <v>51.099999999999994</v>
      </c>
      <c r="G454" s="2">
        <f t="shared" si="305"/>
        <v>57.2</v>
      </c>
      <c r="H454" s="2">
        <f t="shared" si="305"/>
        <v>77.80000000000001</v>
      </c>
      <c r="I454" s="2">
        <f t="shared" si="305"/>
        <v>81.19999999999999</v>
      </c>
      <c r="J454" s="2">
        <f t="shared" si="305"/>
        <v>120.6</v>
      </c>
      <c r="K454" s="2">
        <f t="shared" si="305"/>
        <v>185</v>
      </c>
      <c r="L454" s="2">
        <f t="shared" si="305"/>
        <v>204</v>
      </c>
      <c r="M454" s="2">
        <f t="shared" si="305"/>
        <v>183</v>
      </c>
      <c r="N454" s="2">
        <f t="shared" si="305"/>
        <v>278</v>
      </c>
      <c r="O454" s="2">
        <f t="shared" si="305"/>
        <v>365</v>
      </c>
      <c r="P454" s="2">
        <f t="shared" si="305"/>
        <v>744</v>
      </c>
      <c r="Q454" s="2">
        <f t="shared" si="305"/>
        <v>1712</v>
      </c>
      <c r="R454" s="2">
        <f t="shared" si="305"/>
        <v>2464</v>
      </c>
      <c r="S454" s="2">
        <f t="shared" si="305"/>
        <v>3277</v>
      </c>
      <c r="T454" s="2">
        <f t="shared" si="305"/>
        <v>4483</v>
      </c>
      <c r="U454" s="2">
        <f t="shared" si="305"/>
        <v>4219</v>
      </c>
      <c r="V454" s="2">
        <f t="shared" si="305"/>
        <v>2839</v>
      </c>
      <c r="W454" s="2">
        <f t="shared" si="305"/>
        <v>1471</v>
      </c>
      <c r="X454" s="2">
        <f t="shared" si="305"/>
        <v>1454</v>
      </c>
      <c r="Y454" s="2">
        <f t="shared" si="305"/>
        <v>1127</v>
      </c>
      <c r="Z454" s="2">
        <f t="shared" si="305"/>
        <v>1335</v>
      </c>
      <c r="AA454" s="2">
        <f t="shared" si="305"/>
        <v>1069</v>
      </c>
      <c r="AB454" s="2">
        <f t="shared" si="305"/>
        <v>763</v>
      </c>
      <c r="AC454" s="2">
        <f t="shared" si="305"/>
        <v>607</v>
      </c>
      <c r="AD454" s="2">
        <f t="shared" si="305"/>
        <v>437</v>
      </c>
      <c r="AE454" s="2">
        <f t="shared" si="305"/>
        <v>467</v>
      </c>
      <c r="AF454" s="2">
        <f t="shared" si="305"/>
        <v>798</v>
      </c>
      <c r="AG454" s="2">
        <f t="shared" si="305"/>
        <v>892</v>
      </c>
      <c r="AH454" s="2">
        <f t="shared" si="305"/>
        <v>881</v>
      </c>
      <c r="AI454" s="2">
        <f t="shared" si="305"/>
        <v>846</v>
      </c>
      <c r="AJ454" s="2">
        <f t="shared" si="305"/>
        <v>1235</v>
      </c>
      <c r="AK454" s="2">
        <f t="shared" si="305"/>
        <v>580</v>
      </c>
      <c r="AL454" s="2">
        <f t="shared" si="305"/>
        <v>909</v>
      </c>
      <c r="AM454" s="2">
        <f t="shared" si="305"/>
        <v>1348</v>
      </c>
      <c r="AN454" s="2">
        <f t="shared" si="305"/>
        <v>1658</v>
      </c>
      <c r="AO454" s="2">
        <f t="shared" si="305"/>
        <v>2023</v>
      </c>
      <c r="AP454" s="2">
        <f t="shared" si="305"/>
        <v>1396</v>
      </c>
      <c r="AQ454" s="2">
        <f t="shared" si="305"/>
        <v>2012</v>
      </c>
      <c r="AR454" s="2">
        <f>AR101</f>
        <v>3488</v>
      </c>
      <c r="AS454" s="2">
        <f>AS101</f>
        <v>12736</v>
      </c>
      <c r="AT454" s="2">
        <f>AT101</f>
        <v>16170</v>
      </c>
      <c r="AU454" s="2" t="e">
        <f>AU101</f>
        <v>#VALUE!</v>
      </c>
    </row>
    <row r="455" spans="1:47" s="2" customFormat="1" ht="12.75">
      <c r="A455" s="4"/>
      <c r="B455" s="2">
        <f aca="true" t="shared" si="306" ref="B455:AQ455">B112</f>
        <v>91.1</v>
      </c>
      <c r="C455" s="2">
        <f t="shared" si="306"/>
        <v>92.6</v>
      </c>
      <c r="D455" s="2">
        <f t="shared" si="306"/>
        <v>75.3</v>
      </c>
      <c r="E455" s="2">
        <f t="shared" si="306"/>
        <v>88.39999999999999</v>
      </c>
      <c r="F455" s="2">
        <f t="shared" si="306"/>
        <v>104.19999999999999</v>
      </c>
      <c r="G455" s="2">
        <f t="shared" si="306"/>
        <v>116.19999999999999</v>
      </c>
      <c r="H455" s="2">
        <f t="shared" si="306"/>
        <v>140.7</v>
      </c>
      <c r="I455" s="2">
        <f t="shared" si="306"/>
        <v>136.3</v>
      </c>
      <c r="J455" s="2">
        <f t="shared" si="306"/>
        <v>180.8</v>
      </c>
      <c r="K455" s="2">
        <f t="shared" si="306"/>
        <v>1004</v>
      </c>
      <c r="L455" s="2">
        <f t="shared" si="306"/>
        <v>1184</v>
      </c>
      <c r="M455" s="2">
        <f t="shared" si="306"/>
        <v>1408</v>
      </c>
      <c r="N455" s="2">
        <f t="shared" si="306"/>
        <v>1817</v>
      </c>
      <c r="O455" s="2">
        <f t="shared" si="306"/>
        <v>2135</v>
      </c>
      <c r="P455" s="2">
        <f t="shared" si="306"/>
        <v>1352</v>
      </c>
      <c r="Q455" s="2">
        <f t="shared" si="306"/>
        <v>2182</v>
      </c>
      <c r="R455" s="2">
        <f t="shared" si="306"/>
        <v>3350</v>
      </c>
      <c r="S455" s="2">
        <f t="shared" si="306"/>
        <v>4400</v>
      </c>
      <c r="T455" s="2">
        <f t="shared" si="306"/>
        <v>6901</v>
      </c>
      <c r="U455" s="2">
        <f t="shared" si="306"/>
        <v>7888</v>
      </c>
      <c r="V455" s="2">
        <f t="shared" si="306"/>
        <v>4990</v>
      </c>
      <c r="W455" s="2">
        <f t="shared" si="306"/>
        <v>3068</v>
      </c>
      <c r="X455" s="2">
        <f t="shared" si="306"/>
        <v>1713</v>
      </c>
      <c r="Y455" s="2">
        <f t="shared" si="306"/>
        <v>1496</v>
      </c>
      <c r="Z455" s="2">
        <f t="shared" si="306"/>
        <v>1881</v>
      </c>
      <c r="AA455" s="2">
        <f t="shared" si="306"/>
        <v>1738</v>
      </c>
      <c r="AB455" s="2">
        <f t="shared" si="306"/>
        <v>1693</v>
      </c>
      <c r="AC455" s="2">
        <f t="shared" si="306"/>
        <v>1106</v>
      </c>
      <c r="AD455" s="2">
        <f t="shared" si="306"/>
        <v>1207</v>
      </c>
      <c r="AE455" s="2">
        <f t="shared" si="306"/>
        <v>2437</v>
      </c>
      <c r="AF455" s="2">
        <f t="shared" si="306"/>
        <v>3122</v>
      </c>
      <c r="AG455" s="2">
        <f t="shared" si="306"/>
        <v>4040</v>
      </c>
      <c r="AH455" s="2">
        <f t="shared" si="306"/>
        <v>5800</v>
      </c>
      <c r="AI455" s="2">
        <f t="shared" si="306"/>
        <v>5940</v>
      </c>
      <c r="AJ455" s="2">
        <f t="shared" si="306"/>
        <v>5743</v>
      </c>
      <c r="AK455" s="2">
        <f t="shared" si="306"/>
        <v>3639</v>
      </c>
      <c r="AL455" s="2">
        <f t="shared" si="306"/>
        <v>3133</v>
      </c>
      <c r="AM455" s="2">
        <f t="shared" si="306"/>
        <v>3981</v>
      </c>
      <c r="AN455" s="2">
        <f t="shared" si="306"/>
        <v>4096</v>
      </c>
      <c r="AO455" s="2">
        <f t="shared" si="306"/>
        <v>3492</v>
      </c>
      <c r="AP455" s="2">
        <f t="shared" si="306"/>
        <v>2929</v>
      </c>
      <c r="AQ455" s="2">
        <f t="shared" si="306"/>
        <v>3497</v>
      </c>
      <c r="AR455" s="2">
        <f>AR112</f>
        <v>3983</v>
      </c>
      <c r="AS455" s="2">
        <f>AS112</f>
        <v>8528</v>
      </c>
      <c r="AT455" s="2">
        <f>AT112</f>
        <v>10575</v>
      </c>
      <c r="AU455" s="2">
        <f>AU112</f>
        <v>0</v>
      </c>
    </row>
    <row r="456" s="2" customFormat="1" ht="12.75">
      <c r="A456" s="4"/>
    </row>
    <row r="457" spans="1:47" s="2" customFormat="1" ht="12.75">
      <c r="A457" s="4"/>
      <c r="B457" s="75" t="e">
        <f>B451-B452</f>
        <v>#N/A</v>
      </c>
      <c r="C457" s="75" t="e">
        <f aca="true" t="shared" si="307" ref="C457:R457">C451-C452</f>
        <v>#N/A</v>
      </c>
      <c r="D457" s="75">
        <f t="shared" si="307"/>
        <v>-733</v>
      </c>
      <c r="E457" s="75">
        <f t="shared" si="307"/>
        <v>-691</v>
      </c>
      <c r="F457" s="75">
        <f t="shared" si="307"/>
        <v>-675</v>
      </c>
      <c r="G457" s="75">
        <f t="shared" si="307"/>
        <v>-700</v>
      </c>
      <c r="H457" s="75">
        <f t="shared" si="307"/>
        <v>-695</v>
      </c>
      <c r="I457" s="75">
        <f t="shared" si="307"/>
        <v>-712</v>
      </c>
      <c r="J457" s="75">
        <f t="shared" si="307"/>
        <v>-724</v>
      </c>
      <c r="K457" s="75">
        <f t="shared" si="307"/>
        <v>-926</v>
      </c>
      <c r="L457" s="75">
        <f t="shared" si="307"/>
        <v>-1132</v>
      </c>
      <c r="M457" s="75">
        <f t="shared" si="307"/>
        <v>-1270</v>
      </c>
      <c r="N457" s="75">
        <f t="shared" si="307"/>
        <v>-1777.28056</v>
      </c>
      <c r="O457" s="75">
        <f t="shared" si="307"/>
        <v>-1767.53588</v>
      </c>
      <c r="P457" s="75">
        <f t="shared" si="307"/>
        <v>-1980.12788</v>
      </c>
      <c r="Q457" s="75">
        <f t="shared" si="307"/>
        <v>-1799.1494200000004</v>
      </c>
      <c r="R457" s="75">
        <f t="shared" si="307"/>
        <v>-2808.32895</v>
      </c>
      <c r="S457" s="75">
        <f aca="true" t="shared" si="308" ref="S457:AH457">S451-S452</f>
        <v>-3182</v>
      </c>
      <c r="T457" s="75">
        <f t="shared" si="308"/>
        <v>-4417</v>
      </c>
      <c r="U457" s="75">
        <f t="shared" si="308"/>
        <v>-5753</v>
      </c>
      <c r="V457" s="75">
        <f t="shared" si="308"/>
        <v>-3667</v>
      </c>
      <c r="W457" s="75">
        <f t="shared" si="308"/>
        <v>-3886</v>
      </c>
      <c r="X457" s="75">
        <f t="shared" si="308"/>
        <v>-2139</v>
      </c>
      <c r="Y457" s="75">
        <f t="shared" si="308"/>
        <v>-2167</v>
      </c>
      <c r="Z457" s="75">
        <f t="shared" si="308"/>
        <v>-3122</v>
      </c>
      <c r="AA457" s="75">
        <f t="shared" si="308"/>
        <v>-2772</v>
      </c>
      <c r="AB457" s="75">
        <f t="shared" si="308"/>
        <v>-2645</v>
      </c>
      <c r="AC457" s="75">
        <f t="shared" si="308"/>
        <v>-1741</v>
      </c>
      <c r="AD457" s="75">
        <f t="shared" si="308"/>
        <v>-2001</v>
      </c>
      <c r="AE457" s="75">
        <f t="shared" si="308"/>
        <v>-1969</v>
      </c>
      <c r="AF457" s="75">
        <f t="shared" si="308"/>
        <v>-2324</v>
      </c>
      <c r="AG457" s="75">
        <f t="shared" si="308"/>
        <v>-3148</v>
      </c>
      <c r="AH457" s="75">
        <f t="shared" si="308"/>
        <v>-3849</v>
      </c>
      <c r="AI457" s="75" t="e">
        <f aca="true" t="shared" si="309" ref="AI457:AQ457">AI451-AI452</f>
        <v>#N/A</v>
      </c>
      <c r="AJ457" s="75" t="e">
        <f t="shared" si="309"/>
        <v>#N/A</v>
      </c>
      <c r="AK457" s="75" t="e">
        <f t="shared" si="309"/>
        <v>#N/A</v>
      </c>
      <c r="AL457" s="75" t="e">
        <f t="shared" si="309"/>
        <v>#N/A</v>
      </c>
      <c r="AM457" s="75">
        <f t="shared" si="309"/>
        <v>0</v>
      </c>
      <c r="AN457" s="75">
        <f t="shared" si="309"/>
        <v>0</v>
      </c>
      <c r="AO457" s="75">
        <f t="shared" si="309"/>
        <v>0</v>
      </c>
      <c r="AP457" s="75">
        <f t="shared" si="309"/>
        <v>0</v>
      </c>
      <c r="AQ457" s="75">
        <f t="shared" si="309"/>
        <v>0</v>
      </c>
      <c r="AR457" s="75">
        <f>AR451-AR452</f>
        <v>0</v>
      </c>
      <c r="AS457" s="75">
        <f>AS451-AS452</f>
        <v>0</v>
      </c>
      <c r="AT457" s="75">
        <f>AT451-AT452</f>
        <v>0</v>
      </c>
      <c r="AU457" s="75">
        <f>AU451-AU452</f>
        <v>0</v>
      </c>
    </row>
    <row r="458" spans="1:47" s="2" customFormat="1" ht="12.75">
      <c r="A458" s="4"/>
      <c r="B458" s="2">
        <f>B454-B455</f>
        <v>-19.599999999999994</v>
      </c>
      <c r="C458" s="2">
        <f aca="true" t="shared" si="310" ref="C458:R458">C454-C455</f>
        <v>-29</v>
      </c>
      <c r="D458" s="2">
        <f t="shared" si="310"/>
        <v>-16.4</v>
      </c>
      <c r="E458" s="2">
        <f t="shared" si="310"/>
        <v>-37.89999999999999</v>
      </c>
      <c r="F458" s="2">
        <f t="shared" si="310"/>
        <v>-53.099999999999994</v>
      </c>
      <c r="G458" s="2">
        <f t="shared" si="310"/>
        <v>-58.999999999999986</v>
      </c>
      <c r="H458" s="2">
        <f t="shared" si="310"/>
        <v>-62.89999999999998</v>
      </c>
      <c r="I458" s="2">
        <f t="shared" si="310"/>
        <v>-55.10000000000002</v>
      </c>
      <c r="J458" s="2">
        <f t="shared" si="310"/>
        <v>-60.20000000000002</v>
      </c>
      <c r="K458" s="2">
        <f t="shared" si="310"/>
        <v>-819</v>
      </c>
      <c r="L458" s="2">
        <f t="shared" si="310"/>
        <v>-980</v>
      </c>
      <c r="M458" s="2">
        <f t="shared" si="310"/>
        <v>-1225</v>
      </c>
      <c r="N458" s="2">
        <f t="shared" si="310"/>
        <v>-1539</v>
      </c>
      <c r="O458" s="2">
        <f t="shared" si="310"/>
        <v>-1770</v>
      </c>
      <c r="P458" s="2">
        <f t="shared" si="310"/>
        <v>-608</v>
      </c>
      <c r="Q458" s="2">
        <f t="shared" si="310"/>
        <v>-470</v>
      </c>
      <c r="R458" s="2">
        <f t="shared" si="310"/>
        <v>-886</v>
      </c>
      <c r="S458" s="2">
        <f aca="true" t="shared" si="311" ref="S458:AH458">S454-S455</f>
        <v>-1123</v>
      </c>
      <c r="T458" s="2">
        <f t="shared" si="311"/>
        <v>-2418</v>
      </c>
      <c r="U458" s="2">
        <f t="shared" si="311"/>
        <v>-3669</v>
      </c>
      <c r="V458" s="2">
        <f t="shared" si="311"/>
        <v>-2151</v>
      </c>
      <c r="W458" s="2">
        <f t="shared" si="311"/>
        <v>-1597</v>
      </c>
      <c r="X458" s="2">
        <f t="shared" si="311"/>
        <v>-259</v>
      </c>
      <c r="Y458" s="2">
        <f t="shared" si="311"/>
        <v>-369</v>
      </c>
      <c r="Z458" s="2">
        <f t="shared" si="311"/>
        <v>-546</v>
      </c>
      <c r="AA458" s="2">
        <f t="shared" si="311"/>
        <v>-669</v>
      </c>
      <c r="AB458" s="2">
        <f t="shared" si="311"/>
        <v>-930</v>
      </c>
      <c r="AC458" s="2">
        <f t="shared" si="311"/>
        <v>-499</v>
      </c>
      <c r="AD458" s="2">
        <f t="shared" si="311"/>
        <v>-770</v>
      </c>
      <c r="AE458" s="2">
        <f t="shared" si="311"/>
        <v>-1970</v>
      </c>
      <c r="AF458" s="2">
        <f t="shared" si="311"/>
        <v>-2324</v>
      </c>
      <c r="AG458" s="2">
        <f t="shared" si="311"/>
        <v>-3148</v>
      </c>
      <c r="AH458" s="2">
        <f t="shared" si="311"/>
        <v>-4919</v>
      </c>
      <c r="AI458" s="2">
        <f aca="true" t="shared" si="312" ref="AI458:AQ458">AI454-AI455</f>
        <v>-5094</v>
      </c>
      <c r="AJ458" s="2">
        <f t="shared" si="312"/>
        <v>-4508</v>
      </c>
      <c r="AK458" s="2">
        <f t="shared" si="312"/>
        <v>-3059</v>
      </c>
      <c r="AL458" s="2">
        <f t="shared" si="312"/>
        <v>-2224</v>
      </c>
      <c r="AM458" s="2">
        <f t="shared" si="312"/>
        <v>-2633</v>
      </c>
      <c r="AN458" s="2">
        <f t="shared" si="312"/>
        <v>-2438</v>
      </c>
      <c r="AO458" s="2">
        <f t="shared" si="312"/>
        <v>-1469</v>
      </c>
      <c r="AP458" s="2">
        <f t="shared" si="312"/>
        <v>-1533</v>
      </c>
      <c r="AQ458" s="2">
        <f t="shared" si="312"/>
        <v>-1485</v>
      </c>
      <c r="AR458" s="2">
        <f>AR454-AR455</f>
        <v>-495</v>
      </c>
      <c r="AS458" s="2">
        <f>AS454-AS455</f>
        <v>4208</v>
      </c>
      <c r="AT458" s="2">
        <f>AT454-AT455</f>
        <v>5595</v>
      </c>
      <c r="AU458" s="2" t="e">
        <f>AU454-AU455</f>
        <v>#VALUE!</v>
      </c>
    </row>
    <row r="459" s="2" customFormat="1" ht="12.75">
      <c r="A459" s="4"/>
    </row>
    <row r="460" spans="1:47" s="2" customFormat="1" ht="12.75">
      <c r="A460" s="4"/>
      <c r="B460" s="75" t="e">
        <f>B457-B458</f>
        <v>#N/A</v>
      </c>
      <c r="C460" s="75" t="e">
        <f aca="true" t="shared" si="313" ref="C460:R460">C457-C458</f>
        <v>#N/A</v>
      </c>
      <c r="D460" s="75">
        <f t="shared" si="313"/>
        <v>-716.6</v>
      </c>
      <c r="E460" s="75">
        <f t="shared" si="313"/>
        <v>-653.1</v>
      </c>
      <c r="F460" s="75">
        <f t="shared" si="313"/>
        <v>-621.9</v>
      </c>
      <c r="G460" s="75">
        <f t="shared" si="313"/>
        <v>-641</v>
      </c>
      <c r="H460" s="75">
        <f t="shared" si="313"/>
        <v>-632.1</v>
      </c>
      <c r="I460" s="75">
        <f t="shared" si="313"/>
        <v>-656.9</v>
      </c>
      <c r="J460" s="75">
        <f t="shared" si="313"/>
        <v>-663.8</v>
      </c>
      <c r="K460" s="75">
        <f t="shared" si="313"/>
        <v>-107</v>
      </c>
      <c r="L460" s="75">
        <f t="shared" si="313"/>
        <v>-152</v>
      </c>
      <c r="M460" s="75">
        <f t="shared" si="313"/>
        <v>-45</v>
      </c>
      <c r="N460" s="75">
        <f t="shared" si="313"/>
        <v>-238.28055999999992</v>
      </c>
      <c r="O460" s="75">
        <f t="shared" si="313"/>
        <v>2.4641200000000936</v>
      </c>
      <c r="P460" s="75">
        <f t="shared" si="313"/>
        <v>-1372.12788</v>
      </c>
      <c r="Q460" s="75">
        <f t="shared" si="313"/>
        <v>-1329.1494200000004</v>
      </c>
      <c r="R460" s="75">
        <f t="shared" si="313"/>
        <v>-1922.32895</v>
      </c>
      <c r="S460" s="75">
        <f aca="true" t="shared" si="314" ref="S460:AH460">S457-S458</f>
        <v>-2059</v>
      </c>
      <c r="T460" s="75">
        <f t="shared" si="314"/>
        <v>-1999</v>
      </c>
      <c r="U460" s="75">
        <f t="shared" si="314"/>
        <v>-2084</v>
      </c>
      <c r="V460" s="75">
        <f t="shared" si="314"/>
        <v>-1516</v>
      </c>
      <c r="W460" s="75">
        <f t="shared" si="314"/>
        <v>-2289</v>
      </c>
      <c r="X460" s="75">
        <f t="shared" si="314"/>
        <v>-1880</v>
      </c>
      <c r="Y460" s="75">
        <f t="shared" si="314"/>
        <v>-1798</v>
      </c>
      <c r="Z460" s="75">
        <f t="shared" si="314"/>
        <v>-2576</v>
      </c>
      <c r="AA460" s="75">
        <f t="shared" si="314"/>
        <v>-2103</v>
      </c>
      <c r="AB460" s="75">
        <f t="shared" si="314"/>
        <v>-1715</v>
      </c>
      <c r="AC460" s="75">
        <f t="shared" si="314"/>
        <v>-1242</v>
      </c>
      <c r="AD460" s="75">
        <f t="shared" si="314"/>
        <v>-1231</v>
      </c>
      <c r="AE460" s="75">
        <f t="shared" si="314"/>
        <v>1</v>
      </c>
      <c r="AF460" s="75">
        <f t="shared" si="314"/>
        <v>0</v>
      </c>
      <c r="AG460" s="75">
        <f t="shared" si="314"/>
        <v>0</v>
      </c>
      <c r="AH460" s="75">
        <f t="shared" si="314"/>
        <v>1070</v>
      </c>
      <c r="AI460" s="75" t="e">
        <f aca="true" t="shared" si="315" ref="AI460:AQ460">AI457-AI458</f>
        <v>#N/A</v>
      </c>
      <c r="AJ460" s="75" t="e">
        <f t="shared" si="315"/>
        <v>#N/A</v>
      </c>
      <c r="AK460" s="75" t="e">
        <f t="shared" si="315"/>
        <v>#N/A</v>
      </c>
      <c r="AL460" s="75" t="e">
        <f t="shared" si="315"/>
        <v>#N/A</v>
      </c>
      <c r="AM460" s="75">
        <f t="shared" si="315"/>
        <v>2633</v>
      </c>
      <c r="AN460" s="75">
        <f t="shared" si="315"/>
        <v>2438</v>
      </c>
      <c r="AO460" s="75">
        <f t="shared" si="315"/>
        <v>1469</v>
      </c>
      <c r="AP460" s="75">
        <f t="shared" si="315"/>
        <v>1533</v>
      </c>
      <c r="AQ460" s="75">
        <f t="shared" si="315"/>
        <v>1485</v>
      </c>
      <c r="AR460" s="75">
        <f>AR457-AR458</f>
        <v>495</v>
      </c>
      <c r="AS460" s="75">
        <f>AS457-AS458</f>
        <v>-4208</v>
      </c>
      <c r="AT460" s="75">
        <f>AT457-AT458</f>
        <v>-5595</v>
      </c>
      <c r="AU460" s="75" t="e">
        <f>AU457-AU458</f>
        <v>#VALUE!</v>
      </c>
    </row>
    <row r="461" s="2" customFormat="1" ht="12.75">
      <c r="A461" s="4"/>
    </row>
    <row r="462" s="2" customFormat="1" ht="12.75">
      <c r="A462" s="4"/>
    </row>
    <row r="463" s="2" customFormat="1" ht="12.75">
      <c r="A463" s="4"/>
    </row>
    <row r="464" s="2" customFormat="1" ht="12.75">
      <c r="A464" s="4"/>
    </row>
    <row r="466" spans="39:44" ht="12.75">
      <c r="AM466" t="e">
        <v>#DIV/0!</v>
      </c>
      <c r="AN466" t="e">
        <v>#DIV/0!</v>
      </c>
      <c r="AO466" t="e">
        <v>#DIV/0!</v>
      </c>
      <c r="AP466" t="e">
        <v>#DIV/0!</v>
      </c>
      <c r="AQ466" t="e">
        <v>#DIV/0!</v>
      </c>
      <c r="AR466" t="e">
        <v>#DIV/0!</v>
      </c>
    </row>
    <row r="467" spans="39:47" ht="12.75">
      <c r="AM467">
        <v>1348</v>
      </c>
      <c r="AN467">
        <v>1658</v>
      </c>
      <c r="AO467">
        <v>2023</v>
      </c>
      <c r="AP467">
        <v>1396</v>
      </c>
      <c r="AQ467">
        <v>2012</v>
      </c>
      <c r="AR467">
        <v>3488</v>
      </c>
      <c r="AS467" t="e">
        <v>#VALUE!</v>
      </c>
      <c r="AT467" t="e">
        <v>#VALUE!</v>
      </c>
      <c r="AU467" t="e">
        <v>#VALUE!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بانک اطلاعات مالی ایران</dc:title>
  <dc:subject>بودجه دولت</dc:subject>
  <dc:creator>بيژن بيدآباد</dc:creator>
  <cp:keywords>بانک اطلاعات مالی ایران</cp:keywords>
  <dc:description>بانک اطلاعات مالی ایران</dc:description>
  <cp:lastModifiedBy>khoshnood</cp:lastModifiedBy>
  <dcterms:created xsi:type="dcterms:W3CDTF">2002-07-01T10:21:53Z</dcterms:created>
  <dcterms:modified xsi:type="dcterms:W3CDTF">2004-10-27T11:59:05Z</dcterms:modified>
  <cp:category>بانک اطلاعات مالی ایران</cp:category>
  <cp:version/>
  <cp:contentType/>
  <cp:contentStatus/>
</cp:coreProperties>
</file>